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РОЦЕДУРЫ\Госзакупки 2026 в работе\ЦС695-06-261 САРы Независимости ЖКХ Первомайского\Документы ЦС695\"/>
    </mc:Choice>
  </mc:AlternateContent>
  <xr:revisionPtr revIDLastSave="0" documentId="13_ncr:1_{5AB4CD45-FAC9-424B-8695-64868B45D1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Независимости 185" sheetId="1" r:id="rId1"/>
  </sheets>
  <definedNames>
    <definedName name="_xlnm.Print_Area" localSheetId="0">'Независимости 185'!$A$1:$D$53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C46" i="1"/>
  <c r="C34" i="1"/>
  <c r="C10" i="1"/>
  <c r="C9" i="1" s="1"/>
  <c r="C15" i="1" s="1"/>
  <c r="B13" i="1"/>
  <c r="D17" i="1"/>
  <c r="D44" i="1" s="1"/>
  <c r="C17" i="1"/>
  <c r="C44" i="1" s="1"/>
  <c r="B17" i="1"/>
  <c r="D14" i="1"/>
  <c r="C14" i="1"/>
  <c r="D10" i="1"/>
  <c r="D9" i="1" s="1"/>
  <c r="D15" i="1" s="1"/>
  <c r="C43" i="1"/>
  <c r="D43" i="1"/>
  <c r="D45" i="1" l="1"/>
  <c r="D47" i="1" s="1"/>
  <c r="C45" i="1"/>
  <c r="C47" i="1" s="1"/>
  <c r="C49" i="1" s="1"/>
  <c r="B43" i="1"/>
  <c r="B15" i="1"/>
  <c r="D48" i="1" l="1"/>
  <c r="B47" i="1"/>
  <c r="B45" i="1"/>
  <c r="B29" i="1"/>
  <c r="B30" i="1"/>
  <c r="B31" i="1"/>
  <c r="B10" i="1"/>
  <c r="B11" i="1"/>
  <c r="B12" i="1"/>
  <c r="B14" i="1"/>
  <c r="B9" i="1"/>
  <c r="C35" i="1"/>
  <c r="C38" i="1" s="1"/>
  <c r="C28" i="1"/>
  <c r="B48" i="1" l="1"/>
  <c r="D49" i="1"/>
  <c r="B49" i="1" s="1"/>
  <c r="C33" i="1"/>
  <c r="C18" i="1"/>
  <c r="C19" i="1" s="1"/>
  <c r="D34" i="1"/>
  <c r="B34" i="1" s="1"/>
  <c r="C36" i="1" l="1"/>
  <c r="D35" i="1"/>
  <c r="D28" i="1"/>
  <c r="B28" i="1" s="1"/>
  <c r="C39" i="1" l="1"/>
  <c r="C40" i="1"/>
  <c r="D38" i="1"/>
  <c r="B35" i="1"/>
  <c r="C24" i="1"/>
  <c r="D33" i="1"/>
  <c r="B33" i="1" s="1"/>
  <c r="D37" i="1"/>
  <c r="B38" i="1" l="1"/>
  <c r="D36" i="1"/>
  <c r="C25" i="1"/>
  <c r="C27" i="1" s="1"/>
  <c r="C41" i="1" s="1"/>
  <c r="B36" i="1" l="1"/>
  <c r="D39" i="1"/>
  <c r="D40" i="1"/>
  <c r="B40" i="1" s="1"/>
  <c r="D18" i="1"/>
  <c r="D19" i="1" s="1"/>
  <c r="B39" i="1" l="1"/>
  <c r="B18" i="1"/>
  <c r="D24" i="1" l="1"/>
  <c r="B19" i="1"/>
  <c r="B24" i="1" l="1"/>
  <c r="D25" i="1"/>
  <c r="B25" i="1" l="1"/>
  <c r="D26" i="1"/>
  <c r="D27" i="1"/>
  <c r="B26" i="1" l="1"/>
  <c r="E49" i="1"/>
  <c r="B27" i="1"/>
  <c r="D41" i="1"/>
  <c r="B41" i="1" s="1"/>
</calcChain>
</file>

<file path=xl/sharedStrings.xml><?xml version="1.0" encoding="utf-8"?>
<sst xmlns="http://schemas.openxmlformats.org/spreadsheetml/2006/main" count="75" uniqueCount="59">
  <si>
    <t xml:space="preserve">Расчет стоимости СМР  по объекту                                                </t>
  </si>
  <si>
    <t>дата разраб. ПСД</t>
  </si>
  <si>
    <t>капремонт</t>
  </si>
  <si>
    <t>СМР</t>
  </si>
  <si>
    <t>Оборудование</t>
  </si>
  <si>
    <t>стоимость главы 2-8, без учета стоимости оборудования</t>
  </si>
  <si>
    <t>янв</t>
  </si>
  <si>
    <t>средства при производстве работ в зимнее время</t>
  </si>
  <si>
    <t>фев</t>
  </si>
  <si>
    <t>средства по уплате обязательных страховых взносов 34%</t>
  </si>
  <si>
    <t>март</t>
  </si>
  <si>
    <t>апрель</t>
  </si>
  <si>
    <t>Транспорт оборудования</t>
  </si>
  <si>
    <t>май</t>
  </si>
  <si>
    <t>июнь</t>
  </si>
  <si>
    <t>июль</t>
  </si>
  <si>
    <t>прогнозный индекс на дату нач.строит.</t>
  </si>
  <si>
    <t>авг</t>
  </si>
  <si>
    <t>сен</t>
  </si>
  <si>
    <t>окт</t>
  </si>
  <si>
    <t>ноя</t>
  </si>
  <si>
    <t>дек</t>
  </si>
  <si>
    <t>Стоимость оборудования на дату разработки ПД</t>
  </si>
  <si>
    <t>объектная</t>
  </si>
  <si>
    <t>электрооборудование</t>
  </si>
  <si>
    <t>август 2026, норма задела 100%</t>
  </si>
  <si>
    <t xml:space="preserve">Транспорт оборудования </t>
  </si>
  <si>
    <t>Стоимость оборудования на дату окончания строительства</t>
  </si>
  <si>
    <t>Стоимость транспорта на дату окончания строительства</t>
  </si>
  <si>
    <t>Стоимость на дату окончания строительства с учетом стоимости оборудования Подрядчика</t>
  </si>
  <si>
    <t>Жилая часть (80,5%)</t>
  </si>
  <si>
    <t>Встроеннные помещения (19,5%)</t>
  </si>
  <si>
    <t>тыс.бел.руб</t>
  </si>
  <si>
    <t>стоимость оборудования (оборудование автоматизации САР, силовое электрооборудование) (справочно)</t>
  </si>
  <si>
    <t>оборудование автоматизации САР</t>
  </si>
  <si>
    <t>силовое электрооборудование</t>
  </si>
  <si>
    <t>стоимость СМР (капремонт) на дату разработки ПД</t>
  </si>
  <si>
    <t>стоимость СМР на дату начала строительства</t>
  </si>
  <si>
    <t>в т.ч.</t>
  </si>
  <si>
    <t>Всего</t>
  </si>
  <si>
    <t>к заявке</t>
  </si>
  <si>
    <t>Ведущий инженер АО</t>
  </si>
  <si>
    <t>О.А.Щедрова</t>
  </si>
  <si>
    <t>НДС</t>
  </si>
  <si>
    <t>Пусконаладочные работы на дату разработки ПД</t>
  </si>
  <si>
    <t>Прогнозный индекс на дату начала строительства</t>
  </si>
  <si>
    <t>Стоимость пусконаладочных работ на дату начала строительства</t>
  </si>
  <si>
    <t>стоимость СМР на дату окончания строительства</t>
  </si>
  <si>
    <t>Стоимость пусконаладочных работ на дату окончания строительства</t>
  </si>
  <si>
    <t>"Замена системы автоматического регулирования тепловой энергии на системе отопления  жилого дома № 185 по пр.Независимости в г.Минске (ИТП №2)"</t>
  </si>
  <si>
    <t>октябрь 2026, норма задела 100%</t>
  </si>
  <si>
    <t>пусконаладочные работы (справочно)</t>
  </si>
  <si>
    <t>Стоимость оборудования с учётом НДС</t>
  </si>
  <si>
    <t>НДС по оборудованию (с учётом транспорта)</t>
  </si>
  <si>
    <t>НДС на СМР</t>
  </si>
  <si>
    <t>стоимость СМР на дату окончания строительства с учётом НДС</t>
  </si>
  <si>
    <t>Стоимость пусконаладочных работ на дату окончания строительства с учётом НДС</t>
  </si>
  <si>
    <t>Исполнитель Александрович Ю.Г.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</si>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</sst>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"/>
    <numFmt numFmtId="165" formatCode="_-* #,##0.00\ _₽_-;\-* #,##0.00\ _₽_-;_-* &quot;-&quot;??\ _₽_-;_-@_-"/>
    <numFmt numFmtId="166" formatCode="_-* #,##0.000_р_._-;\-* #,##0.000_р_._-;_-* &quot;-&quot;??_р_._-;_-@_-"/>
    <numFmt numFmtId="167" formatCode="#,##0_ ;\-#,##0\ "/>
    <numFmt numFmtId="168" formatCode="0.0000"/>
    <numFmt numFmtId="169" formatCode="0.00000"/>
    <numFmt numFmtId="170" formatCode="#,##0.00000"/>
    <numFmt numFmtId="171" formatCode="_-* #,##0.000\ _B_r_-;\-* #,##0.000\ _B_r_-;_-* &quot;-&quot;???\ _B_r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right"/>
    </xf>
    <xf numFmtId="166" fontId="4" fillId="0" borderId="0" xfId="1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/>
    </xf>
    <xf numFmtId="14" fontId="5" fillId="0" borderId="1" xfId="0" applyNumberFormat="1" applyFont="1" applyBorder="1"/>
    <xf numFmtId="166" fontId="4" fillId="0" borderId="0" xfId="1" applyNumberFormat="1" applyFont="1" applyBorder="1" applyAlignment="1">
      <alignment horizontal="left" vertical="top" wrapText="1"/>
    </xf>
    <xf numFmtId="0" fontId="6" fillId="0" borderId="0" xfId="0" applyFont="1"/>
    <xf numFmtId="166" fontId="4" fillId="0" borderId="0" xfId="1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14" fontId="5" fillId="2" borderId="0" xfId="0" applyNumberFormat="1" applyFont="1" applyFill="1"/>
    <xf numFmtId="166" fontId="4" fillId="0" borderId="1" xfId="1" applyNumberFormat="1" applyFont="1" applyBorder="1" applyAlignment="1">
      <alignment horizontal="left" wrapText="1"/>
    </xf>
    <xf numFmtId="14" fontId="7" fillId="0" borderId="0" xfId="0" applyNumberFormat="1" applyFont="1"/>
    <xf numFmtId="0" fontId="1" fillId="0" borderId="0" xfId="0" applyFont="1"/>
    <xf numFmtId="164" fontId="8" fillId="0" borderId="1" xfId="1" applyNumberFormat="1" applyFont="1" applyBorder="1"/>
    <xf numFmtId="0" fontId="2" fillId="0" borderId="2" xfId="0" applyFont="1" applyBorder="1"/>
    <xf numFmtId="0" fontId="5" fillId="0" borderId="5" xfId="0" applyFont="1" applyBorder="1" applyAlignment="1">
      <alignment horizontal="center"/>
    </xf>
    <xf numFmtId="0" fontId="2" fillId="3" borderId="6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8" fontId="2" fillId="4" borderId="11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168" fontId="2" fillId="0" borderId="10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4" borderId="12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8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168" fontId="2" fillId="0" borderId="14" xfId="0" applyNumberFormat="1" applyFont="1" applyBorder="1" applyAlignment="1">
      <alignment horizontal="center"/>
    </xf>
    <xf numFmtId="168" fontId="2" fillId="0" borderId="1" xfId="0" applyNumberFormat="1" applyFont="1" applyBorder="1" applyAlignment="1">
      <alignment horizontal="center"/>
    </xf>
    <xf numFmtId="168" fontId="2" fillId="4" borderId="15" xfId="0" applyNumberFormat="1" applyFont="1" applyFill="1" applyBorder="1" applyAlignment="1">
      <alignment horizontal="center"/>
    </xf>
    <xf numFmtId="164" fontId="4" fillId="0" borderId="1" xfId="1" applyNumberFormat="1" applyFont="1" applyBorder="1"/>
    <xf numFmtId="164" fontId="8" fillId="0" borderId="1" xfId="1" applyNumberFormat="1" applyFont="1" applyFill="1" applyBorder="1"/>
    <xf numFmtId="168" fontId="11" fillId="4" borderId="1" xfId="0" applyNumberFormat="1" applyFont="1" applyFill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168" fontId="12" fillId="4" borderId="1" xfId="0" applyNumberFormat="1" applyFont="1" applyFill="1" applyBorder="1" applyAlignment="1">
      <alignment horizontal="center"/>
    </xf>
    <xf numFmtId="164" fontId="5" fillId="0" borderId="1" xfId="1" applyNumberFormat="1" applyFont="1" applyFill="1" applyBorder="1"/>
    <xf numFmtId="166" fontId="10" fillId="0" borderId="1" xfId="1" applyNumberFormat="1" applyFont="1" applyBorder="1"/>
    <xf numFmtId="0" fontId="4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68" fontId="12" fillId="4" borderId="18" xfId="0" applyNumberFormat="1" applyFont="1" applyFill="1" applyBorder="1" applyAlignment="1">
      <alignment horizontal="center"/>
    </xf>
    <xf numFmtId="168" fontId="2" fillId="4" borderId="18" xfId="0" applyNumberFormat="1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168" fontId="2" fillId="0" borderId="17" xfId="0" applyNumberFormat="1" applyFont="1" applyBorder="1" applyAlignment="1">
      <alignment horizontal="center"/>
    </xf>
    <xf numFmtId="168" fontId="2" fillId="0" borderId="18" xfId="0" applyNumberFormat="1" applyFont="1" applyBorder="1" applyAlignment="1">
      <alignment horizontal="center"/>
    </xf>
    <xf numFmtId="168" fontId="2" fillId="4" borderId="19" xfId="0" applyNumberFormat="1" applyFont="1" applyFill="1" applyBorder="1" applyAlignment="1">
      <alignment horizontal="center"/>
    </xf>
    <xf numFmtId="166" fontId="4" fillId="5" borderId="1" xfId="1" applyNumberFormat="1" applyFont="1" applyFill="1" applyBorder="1"/>
    <xf numFmtId="164" fontId="5" fillId="5" borderId="1" xfId="1" applyNumberFormat="1" applyFont="1" applyFill="1" applyBorder="1"/>
    <xf numFmtId="0" fontId="0" fillId="5" borderId="0" xfId="0" applyFill="1"/>
    <xf numFmtId="166" fontId="4" fillId="0" borderId="1" xfId="1" applyNumberFormat="1" applyFont="1" applyFill="1" applyBorder="1" applyAlignment="1">
      <alignment wrapText="1"/>
    </xf>
    <xf numFmtId="164" fontId="10" fillId="0" borderId="1" xfId="1" applyNumberFormat="1" applyFont="1" applyBorder="1"/>
    <xf numFmtId="166" fontId="10" fillId="0" borderId="1" xfId="1" applyNumberFormat="1" applyFont="1" applyFill="1" applyBorder="1"/>
    <xf numFmtId="0" fontId="0" fillId="0" borderId="0" xfId="0" applyAlignment="1">
      <alignment horizontal="right"/>
    </xf>
    <xf numFmtId="166" fontId="4" fillId="6" borderId="1" xfId="1" applyNumberFormat="1" applyFont="1" applyFill="1" applyBorder="1" applyAlignment="1">
      <alignment horizontal="left" wrapText="1"/>
    </xf>
    <xf numFmtId="169" fontId="5" fillId="5" borderId="1" xfId="1" applyNumberFormat="1" applyFont="1" applyFill="1" applyBorder="1"/>
    <xf numFmtId="166" fontId="10" fillId="6" borderId="1" xfId="1" applyNumberFormat="1" applyFont="1" applyFill="1" applyBorder="1"/>
    <xf numFmtId="0" fontId="0" fillId="7" borderId="0" xfId="0" applyFill="1"/>
    <xf numFmtId="169" fontId="13" fillId="7" borderId="0" xfId="0" applyNumberFormat="1" applyFont="1" applyFill="1"/>
    <xf numFmtId="170" fontId="0" fillId="7" borderId="0" xfId="0" applyNumberFormat="1" applyFill="1"/>
    <xf numFmtId="169" fontId="13" fillId="0" borderId="0" xfId="0" applyNumberFormat="1" applyFont="1"/>
    <xf numFmtId="164" fontId="2" fillId="0" borderId="0" xfId="0" applyNumberFormat="1" applyFont="1"/>
    <xf numFmtId="169" fontId="0" fillId="0" borderId="0" xfId="0" applyNumberFormat="1"/>
    <xf numFmtId="164" fontId="0" fillId="0" borderId="0" xfId="0" applyNumberFormat="1"/>
    <xf numFmtId="164" fontId="11" fillId="0" borderId="1" xfId="1" applyNumberFormat="1" applyFont="1" applyFill="1" applyBorder="1"/>
    <xf numFmtId="166" fontId="11" fillId="0" borderId="1" xfId="1" applyNumberFormat="1" applyFont="1" applyFill="1" applyBorder="1" applyAlignment="1">
      <alignment horizontal="left" wrapText="1"/>
    </xf>
    <xf numFmtId="166" fontId="11" fillId="0" borderId="1" xfId="1" applyNumberFormat="1" applyFont="1" applyFill="1" applyBorder="1" applyAlignment="1">
      <alignment wrapText="1"/>
    </xf>
    <xf numFmtId="166" fontId="11" fillId="0" borderId="1" xfId="1" applyNumberFormat="1" applyFont="1" applyFill="1" applyBorder="1"/>
    <xf numFmtId="166" fontId="8" fillId="0" borderId="1" xfId="1" applyNumberFormat="1" applyFont="1" applyFill="1" applyBorder="1" applyAlignment="1">
      <alignment wrapText="1"/>
    </xf>
    <xf numFmtId="166" fontId="8" fillId="0" borderId="1" xfId="1" applyNumberFormat="1" applyFont="1" applyFill="1" applyBorder="1"/>
    <xf numFmtId="166" fontId="4" fillId="0" borderId="1" xfId="1" applyNumberFormat="1" applyFont="1" applyBorder="1" applyAlignment="1">
      <alignment horizontal="left" vertical="center" wrapText="1"/>
    </xf>
    <xf numFmtId="166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7" fontId="4" fillId="0" borderId="0" xfId="1" applyNumberFormat="1" applyFont="1" applyBorder="1" applyAlignment="1">
      <alignment horizontal="right" vertical="top" wrapText="1"/>
    </xf>
    <xf numFmtId="166" fontId="10" fillId="0" borderId="1" xfId="1" applyNumberFormat="1" applyFont="1" applyBorder="1" applyAlignment="1">
      <alignment horizontal="right" vertical="center" wrapText="1"/>
    </xf>
    <xf numFmtId="164" fontId="11" fillId="0" borderId="1" xfId="1" applyNumberFormat="1" applyFont="1" applyBorder="1" applyAlignment="1">
      <alignment horizontal="right" vertical="center" wrapText="1"/>
    </xf>
    <xf numFmtId="166" fontId="10" fillId="0" borderId="1" xfId="1" applyNumberFormat="1" applyFont="1" applyFill="1" applyBorder="1" applyAlignment="1">
      <alignment horizontal="right" vertical="center" wrapText="1"/>
    </xf>
    <xf numFmtId="166" fontId="4" fillId="6" borderId="1" xfId="1" applyNumberFormat="1" applyFont="1" applyFill="1" applyBorder="1" applyAlignment="1">
      <alignment horizontal="right" vertical="center" wrapText="1"/>
    </xf>
    <xf numFmtId="164" fontId="5" fillId="6" borderId="1" xfId="1" applyNumberFormat="1" applyFont="1" applyFill="1" applyBorder="1" applyAlignment="1">
      <alignment horizontal="right" vertical="center" wrapText="1"/>
    </xf>
    <xf numFmtId="166" fontId="10" fillId="6" borderId="1" xfId="1" applyNumberFormat="1" applyFont="1" applyFill="1" applyBorder="1" applyAlignment="1">
      <alignment horizontal="right" vertical="center" wrapText="1"/>
    </xf>
    <xf numFmtId="164" fontId="2" fillId="6" borderId="1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left" wrapText="1"/>
    </xf>
    <xf numFmtId="166" fontId="8" fillId="8" borderId="1" xfId="1" applyNumberFormat="1" applyFont="1" applyFill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166" fontId="10" fillId="6" borderId="1" xfId="1" applyNumberFormat="1" applyFont="1" applyFill="1" applyBorder="1" applyAlignment="1">
      <alignment horizontal="right" vertical="center"/>
    </xf>
    <xf numFmtId="166" fontId="4" fillId="6" borderId="1" xfId="1" applyNumberFormat="1" applyFont="1" applyFill="1" applyBorder="1"/>
    <xf numFmtId="164" fontId="4" fillId="0" borderId="1" xfId="0" applyNumberFormat="1" applyFont="1" applyBorder="1" applyAlignment="1">
      <alignment horizontal="right" vertical="center" wrapText="1"/>
    </xf>
    <xf numFmtId="0" fontId="4" fillId="9" borderId="1" xfId="0" applyFont="1" applyFill="1" applyBorder="1" applyAlignment="1">
      <alignment wrapText="1"/>
    </xf>
    <xf numFmtId="164" fontId="4" fillId="9" borderId="1" xfId="0" applyNumberFormat="1" applyFont="1" applyFill="1" applyBorder="1" applyAlignment="1">
      <alignment horizontal="right" vertical="center" wrapText="1"/>
    </xf>
    <xf numFmtId="164" fontId="4" fillId="9" borderId="0" xfId="0" applyNumberFormat="1" applyFont="1" applyFill="1" applyAlignment="1">
      <alignment horizontal="right" vertical="center" wrapText="1"/>
    </xf>
    <xf numFmtId="166" fontId="4" fillId="9" borderId="1" xfId="0" applyNumberFormat="1" applyFont="1" applyFill="1" applyBorder="1" applyAlignment="1">
      <alignment wrapText="1"/>
    </xf>
    <xf numFmtId="0" fontId="10" fillId="9" borderId="1" xfId="0" applyFont="1" applyFill="1" applyBorder="1" applyAlignment="1">
      <alignment wrapText="1"/>
    </xf>
    <xf numFmtId="166" fontId="10" fillId="0" borderId="1" xfId="1" applyNumberFormat="1" applyFont="1" applyBorder="1" applyAlignment="1">
      <alignment wrapText="1"/>
    </xf>
    <xf numFmtId="0" fontId="4" fillId="9" borderId="0" xfId="0" applyFont="1" applyFill="1" applyAlignment="1">
      <alignment horizontal="left" wrapText="1"/>
    </xf>
    <xf numFmtId="166" fontId="4" fillId="9" borderId="1" xfId="1" applyNumberFormat="1" applyFont="1" applyFill="1" applyBorder="1" applyAlignment="1">
      <alignment wrapText="1"/>
    </xf>
    <xf numFmtId="166" fontId="4" fillId="6" borderId="1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4" fontId="4" fillId="0" borderId="1" xfId="0" applyNumberFormat="1" applyFont="1" applyBorder="1"/>
    <xf numFmtId="164" fontId="4" fillId="9" borderId="1" xfId="0" applyNumberFormat="1" applyFont="1" applyFill="1" applyBorder="1" applyAlignment="1">
      <alignment wrapText="1"/>
    </xf>
    <xf numFmtId="164" fontId="4" fillId="9" borderId="1" xfId="0" applyNumberFormat="1" applyFont="1" applyFill="1" applyBorder="1"/>
    <xf numFmtId="171" fontId="0" fillId="0" borderId="0" xfId="0" applyNumberFormat="1"/>
    <xf numFmtId="0" fontId="14" fillId="0" borderId="0" xfId="0" applyFont="1"/>
    <xf numFmtId="0" fontId="15" fillId="0" borderId="0" xfId="0" applyFont="1"/>
    <xf numFmtId="164" fontId="15" fillId="0" borderId="0" xfId="0" applyNumberFormat="1" applyFont="1"/>
    <xf numFmtId="166" fontId="4" fillId="0" borderId="0" xfId="1" applyNumberFormat="1" applyFont="1" applyBorder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66" fontId="4" fillId="0" borderId="1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"/>
  <sheetViews>
    <sheetView tabSelected="1" view="pageBreakPreview" zoomScale="200" zoomScaleNormal="120" zoomScaleSheetLayoutView="200" workbookViewId="0">
      <selection activeCell="A6" sqref="A6:A7"/>
    </sheetView>
  </sheetViews>
  <sheetFormatPr defaultRowHeight="14.4" x14ac:dyDescent="0.3"/>
  <cols>
    <col min="1" max="1" width="53.109375" customWidth="1"/>
    <col min="2" max="2" width="12.88671875" customWidth="1"/>
    <col min="3" max="3" width="15" customWidth="1"/>
    <col min="4" max="4" width="18.5546875" style="75" customWidth="1"/>
    <col min="5" max="5" width="11" customWidth="1"/>
    <col min="6" max="6" width="14.33203125" bestFit="1" customWidth="1"/>
    <col min="7" max="7" width="12.44140625" bestFit="1" customWidth="1"/>
    <col min="8" max="8" width="11.109375" customWidth="1"/>
    <col min="9" max="9" width="15" customWidth="1"/>
    <col min="10" max="10" width="14.44140625" customWidth="1"/>
    <col min="11" max="11" width="9.5546875" customWidth="1"/>
  </cols>
  <sheetData>
    <row r="1" spans="1:18" x14ac:dyDescent="0.3">
      <c r="A1" s="1"/>
      <c r="B1" s="1"/>
      <c r="C1" s="1"/>
      <c r="D1" s="2" t="s">
        <v>58</v>
      </c>
    </row>
    <row r="2" spans="1:18" ht="11.25" customHeight="1" x14ac:dyDescent="0.3">
      <c r="A2" s="1"/>
      <c r="B2" s="1"/>
      <c r="C2" s="1"/>
      <c r="D2" s="2" t="s">
        <v>40</v>
      </c>
    </row>
    <row r="3" spans="1:18" ht="15" customHeight="1" x14ac:dyDescent="0.3">
      <c r="A3" s="117" t="s">
        <v>0</v>
      </c>
      <c r="B3" s="117"/>
      <c r="C3" s="117"/>
      <c r="D3" s="117"/>
      <c r="E3" s="117"/>
    </row>
    <row r="4" spans="1:18" ht="29.25" customHeight="1" x14ac:dyDescent="0.3">
      <c r="A4" s="118" t="s">
        <v>49</v>
      </c>
      <c r="B4" s="118"/>
      <c r="C4" s="118"/>
      <c r="D4" s="118"/>
      <c r="E4" s="3"/>
      <c r="F4" s="4" t="s">
        <v>1</v>
      </c>
      <c r="G4" s="4"/>
      <c r="H4" s="4"/>
      <c r="I4" s="5">
        <v>45992</v>
      </c>
    </row>
    <row r="5" spans="1:18" ht="13.5" customHeight="1" x14ac:dyDescent="0.3">
      <c r="A5" s="8"/>
      <c r="B5" s="8"/>
      <c r="C5" s="8"/>
      <c r="D5" s="85" t="s">
        <v>32</v>
      </c>
      <c r="E5" s="6"/>
      <c r="F5" s="9"/>
      <c r="G5" s="9"/>
      <c r="H5" s="9"/>
      <c r="I5" s="10"/>
      <c r="J5" s="10"/>
      <c r="K5" s="7"/>
    </row>
    <row r="6" spans="1:18" ht="13.5" customHeight="1" x14ac:dyDescent="0.3">
      <c r="A6" s="125"/>
      <c r="B6" s="125" t="s">
        <v>39</v>
      </c>
      <c r="C6" s="125" t="s">
        <v>38</v>
      </c>
      <c r="D6" s="125"/>
      <c r="E6" s="6"/>
      <c r="F6" s="9"/>
      <c r="G6" s="9"/>
      <c r="H6" s="9"/>
      <c r="I6" s="10"/>
      <c r="J6" s="10"/>
      <c r="K6" s="7"/>
    </row>
    <row r="7" spans="1:18" ht="48" customHeight="1" thickBot="1" x14ac:dyDescent="0.35">
      <c r="A7" s="125"/>
      <c r="B7" s="125"/>
      <c r="C7" s="83" t="s">
        <v>30</v>
      </c>
      <c r="D7" s="84" t="s">
        <v>31</v>
      </c>
      <c r="F7" s="12"/>
      <c r="G7" s="7"/>
      <c r="H7" s="7"/>
      <c r="I7" s="7"/>
      <c r="J7" s="7"/>
      <c r="K7" s="7"/>
      <c r="M7" s="13"/>
    </row>
    <row r="8" spans="1:18" ht="15" customHeight="1" thickBot="1" x14ac:dyDescent="0.55000000000000004">
      <c r="A8" s="82" t="s">
        <v>2</v>
      </c>
      <c r="B8" s="82"/>
      <c r="C8" s="11"/>
      <c r="D8" s="14"/>
      <c r="F8" s="119" t="s">
        <v>3</v>
      </c>
      <c r="G8" s="120"/>
      <c r="H8" s="120"/>
      <c r="I8" s="120"/>
      <c r="J8" s="120"/>
      <c r="K8" s="120"/>
      <c r="L8" s="121"/>
      <c r="N8" s="122" t="s">
        <v>4</v>
      </c>
      <c r="O8" s="123"/>
      <c r="P8" s="123"/>
      <c r="Q8" s="123"/>
      <c r="R8" s="124"/>
    </row>
    <row r="9" spans="1:18" ht="16.5" customHeight="1" thickBot="1" x14ac:dyDescent="0.35">
      <c r="A9" s="77" t="s">
        <v>5</v>
      </c>
      <c r="B9" s="77">
        <f>C9+D9</f>
        <v>105.52699999999999</v>
      </c>
      <c r="C9" s="77">
        <f>88.746+0.151-C10</f>
        <v>86.231999999999985</v>
      </c>
      <c r="D9" s="76">
        <f>19.595+0.109-D10</f>
        <v>19.295000000000002</v>
      </c>
      <c r="F9" s="15"/>
      <c r="G9" s="16">
        <v>2024</v>
      </c>
      <c r="H9" s="16">
        <v>2025</v>
      </c>
      <c r="I9" s="16">
        <v>2026</v>
      </c>
      <c r="J9" s="16">
        <v>2027</v>
      </c>
      <c r="K9" s="16">
        <v>2028</v>
      </c>
      <c r="L9" s="16">
        <v>2029</v>
      </c>
      <c r="N9" s="17"/>
      <c r="O9" s="18">
        <v>2024</v>
      </c>
      <c r="P9" s="19">
        <v>2025</v>
      </c>
      <c r="Q9" s="20">
        <v>2026</v>
      </c>
      <c r="R9" s="21">
        <v>2027</v>
      </c>
    </row>
    <row r="10" spans="1:18" ht="28.2" x14ac:dyDescent="0.3">
      <c r="A10" s="78" t="s">
        <v>33</v>
      </c>
      <c r="B10" s="77">
        <f t="shared" ref="B10:B14" si="0">C10+D10</f>
        <v>3.0739999999999998</v>
      </c>
      <c r="C10" s="78">
        <f>2.209+0.456</f>
        <v>2.665</v>
      </c>
      <c r="D10" s="76">
        <f>0.317+0.092</f>
        <v>0.40900000000000003</v>
      </c>
      <c r="F10" s="22" t="s">
        <v>6</v>
      </c>
      <c r="G10" s="23">
        <v>1.0073000000000001</v>
      </c>
      <c r="H10" s="24">
        <v>1.0068999999999999</v>
      </c>
      <c r="I10" s="25">
        <v>1.0089999999999999</v>
      </c>
      <c r="J10" s="26">
        <v>1.0085999999999999</v>
      </c>
      <c r="K10" s="26"/>
      <c r="L10" s="27"/>
      <c r="N10" s="28" t="s">
        <v>6</v>
      </c>
      <c r="O10" s="29">
        <v>1.0048999999999999</v>
      </c>
      <c r="P10" s="30">
        <v>1.0037</v>
      </c>
      <c r="Q10" s="30">
        <v>1.0025999999999999</v>
      </c>
      <c r="R10" s="31">
        <v>1.0024</v>
      </c>
    </row>
    <row r="11" spans="1:18" x14ac:dyDescent="0.3">
      <c r="A11" s="79" t="s">
        <v>7</v>
      </c>
      <c r="B11" s="77">
        <f t="shared" si="0"/>
        <v>0.18</v>
      </c>
      <c r="C11" s="79">
        <v>0.112</v>
      </c>
      <c r="D11" s="76">
        <v>6.8000000000000005E-2</v>
      </c>
      <c r="F11" s="32" t="s">
        <v>8</v>
      </c>
      <c r="G11" s="33">
        <v>1.0073000000000001</v>
      </c>
      <c r="H11" s="34">
        <v>1.0068999999999999</v>
      </c>
      <c r="I11" s="35">
        <v>1.0089999999999999</v>
      </c>
      <c r="J11" s="36">
        <v>1.0085999999999999</v>
      </c>
      <c r="K11" s="36"/>
      <c r="L11" s="37"/>
      <c r="N11" s="38" t="s">
        <v>8</v>
      </c>
      <c r="O11" s="39">
        <v>1.0048999999999999</v>
      </c>
      <c r="P11" s="40">
        <v>1.0037</v>
      </c>
      <c r="Q11" s="40">
        <v>1.0025999999999999</v>
      </c>
      <c r="R11" s="41">
        <v>1.0024</v>
      </c>
    </row>
    <row r="12" spans="1:18" ht="14.25" customHeight="1" x14ac:dyDescent="0.3">
      <c r="A12" s="78" t="s">
        <v>9</v>
      </c>
      <c r="B12" s="77">
        <f t="shared" si="0"/>
        <v>2.762</v>
      </c>
      <c r="C12" s="78">
        <v>1.8049999999999999</v>
      </c>
      <c r="D12" s="76">
        <v>0.95699999999999996</v>
      </c>
      <c r="F12" s="32" t="s">
        <v>10</v>
      </c>
      <c r="G12" s="33">
        <v>1.0073000000000001</v>
      </c>
      <c r="H12" s="34">
        <v>1.0068999999999999</v>
      </c>
      <c r="I12" s="35">
        <v>1.0089999999999999</v>
      </c>
      <c r="J12" s="36">
        <v>1.0085999999999999</v>
      </c>
      <c r="K12" s="36"/>
      <c r="L12" s="37"/>
      <c r="N12" s="38" t="s">
        <v>10</v>
      </c>
      <c r="O12" s="39">
        <v>1.0048999999999999</v>
      </c>
      <c r="P12" s="40">
        <v>1.0037</v>
      </c>
      <c r="Q12" s="40">
        <v>1.0025999999999999</v>
      </c>
      <c r="R12" s="41">
        <v>1.0024</v>
      </c>
    </row>
    <row r="13" spans="1:18" ht="15" customHeight="1" x14ac:dyDescent="0.3">
      <c r="A13" s="78" t="s">
        <v>51</v>
      </c>
      <c r="B13" s="77">
        <f>C13+D13</f>
        <v>1.9849999999999999</v>
      </c>
      <c r="C13" s="78">
        <v>1.5389999999999999</v>
      </c>
      <c r="D13" s="76">
        <v>0.44600000000000001</v>
      </c>
      <c r="F13" s="32" t="s">
        <v>11</v>
      </c>
      <c r="G13" s="33">
        <v>1.0073000000000001</v>
      </c>
      <c r="H13" s="35">
        <v>1.0109999999999999</v>
      </c>
      <c r="I13" s="35">
        <v>1.0089999999999999</v>
      </c>
      <c r="J13" s="36">
        <v>1.0085999999999999</v>
      </c>
      <c r="K13" s="36"/>
      <c r="L13" s="37"/>
      <c r="N13" s="38" t="s">
        <v>11</v>
      </c>
      <c r="O13" s="39">
        <v>1.0048999999999999</v>
      </c>
      <c r="P13" s="40">
        <v>1.0029999999999999</v>
      </c>
      <c r="Q13" s="40">
        <v>1.0025999999999999</v>
      </c>
      <c r="R13" s="41">
        <v>1.0024</v>
      </c>
    </row>
    <row r="14" spans="1:18" ht="14.25" customHeight="1" x14ac:dyDescent="0.3">
      <c r="A14" s="78" t="s">
        <v>12</v>
      </c>
      <c r="B14" s="77">
        <f t="shared" si="0"/>
        <v>6.0999999999999999E-2</v>
      </c>
      <c r="C14" s="78">
        <f>0.044+0.009</f>
        <v>5.2999999999999999E-2</v>
      </c>
      <c r="D14" s="76">
        <f>0.006+0.002</f>
        <v>8.0000000000000002E-3</v>
      </c>
      <c r="F14" s="32" t="s">
        <v>13</v>
      </c>
      <c r="G14" s="33">
        <v>1.0073000000000001</v>
      </c>
      <c r="H14" s="35">
        <v>1.0109999999999999</v>
      </c>
      <c r="I14" s="35">
        <v>1.0089999999999999</v>
      </c>
      <c r="J14" s="36">
        <v>1.0085999999999999</v>
      </c>
      <c r="K14" s="36"/>
      <c r="L14" s="37"/>
      <c r="N14" s="38" t="s">
        <v>13</v>
      </c>
      <c r="O14" s="39">
        <v>1.0044999999999999</v>
      </c>
      <c r="P14" s="40">
        <v>1.0029999999999999</v>
      </c>
      <c r="Q14" s="40">
        <v>1.0025999999999999</v>
      </c>
      <c r="R14" s="41">
        <v>1.0024</v>
      </c>
    </row>
    <row r="15" spans="1:18" ht="14.25" customHeight="1" x14ac:dyDescent="0.3">
      <c r="A15" s="80" t="s">
        <v>36</v>
      </c>
      <c r="B15" s="93">
        <f>C15+D15-B13</f>
        <v>106.42299999999999</v>
      </c>
      <c r="C15" s="43">
        <f>C9+C11+C12+C13-C14-C13</f>
        <v>88.095999999999989</v>
      </c>
      <c r="D15" s="43">
        <f>D9+D11+D12+D13-D14-D13</f>
        <v>20.312000000000005</v>
      </c>
      <c r="F15" s="32" t="s">
        <v>14</v>
      </c>
      <c r="G15" s="33">
        <v>1.0073000000000001</v>
      </c>
      <c r="H15" s="35">
        <v>1.0109999999999999</v>
      </c>
      <c r="I15" s="35">
        <v>1.0089999999999999</v>
      </c>
      <c r="J15" s="36">
        <v>1.0085999999999999</v>
      </c>
      <c r="K15" s="36"/>
      <c r="L15" s="37"/>
      <c r="N15" s="38" t="s">
        <v>14</v>
      </c>
      <c r="O15" s="39">
        <v>1.0044999999999999</v>
      </c>
      <c r="P15" s="40">
        <v>1.0029999999999999</v>
      </c>
      <c r="Q15" s="40">
        <v>1.0025999999999999</v>
      </c>
      <c r="R15" s="41">
        <v>1.0024</v>
      </c>
    </row>
    <row r="16" spans="1:18" ht="6.75" customHeight="1" x14ac:dyDescent="0.3">
      <c r="A16" s="80"/>
      <c r="B16" s="80"/>
      <c r="C16" s="80"/>
      <c r="D16" s="43"/>
      <c r="F16" s="32" t="s">
        <v>15</v>
      </c>
      <c r="G16" s="33">
        <v>1.0073000000000001</v>
      </c>
      <c r="H16" s="35">
        <v>1.0109999999999999</v>
      </c>
      <c r="I16" s="44">
        <v>1.0089999999999999</v>
      </c>
      <c r="J16" s="36">
        <v>1.0085999999999999</v>
      </c>
      <c r="K16" s="36"/>
      <c r="L16" s="37"/>
      <c r="N16" s="38" t="s">
        <v>15</v>
      </c>
      <c r="O16" s="39">
        <v>1.0044999999999999</v>
      </c>
      <c r="P16" s="40">
        <v>1.0029999999999999</v>
      </c>
      <c r="Q16" s="45">
        <v>1.0025999999999999</v>
      </c>
      <c r="R16" s="41">
        <v>1.0024</v>
      </c>
    </row>
    <row r="17" spans="1:18" x14ac:dyDescent="0.3">
      <c r="A17" s="79" t="s">
        <v>16</v>
      </c>
      <c r="B17" s="79">
        <f>H21*I10*I11*I12*I13*I14*I15*I16</f>
        <v>1.0764387400834192</v>
      </c>
      <c r="C17" s="76">
        <f>H21*I10*I11*I12*I13*I14*I15*I16</f>
        <v>1.0764387400834192</v>
      </c>
      <c r="D17" s="76">
        <f>H21*I10*I11*I12*I13*I14*I15*I16</f>
        <v>1.0764387400834192</v>
      </c>
      <c r="F17" s="32" t="s">
        <v>17</v>
      </c>
      <c r="G17" s="33">
        <v>1.0073000000000001</v>
      </c>
      <c r="H17" s="44">
        <v>1.0109999999999999</v>
      </c>
      <c r="I17" s="46">
        <v>1.0089999999999999</v>
      </c>
      <c r="J17" s="36">
        <v>1.0085999999999999</v>
      </c>
      <c r="K17" s="36"/>
      <c r="L17" s="37"/>
      <c r="N17" s="38" t="s">
        <v>17</v>
      </c>
      <c r="O17" s="39">
        <v>1.0044999999999999</v>
      </c>
      <c r="P17" s="45">
        <v>1.0029999999999999</v>
      </c>
      <c r="Q17" s="40">
        <v>1.0025999999999999</v>
      </c>
      <c r="R17" s="41">
        <v>1.0024</v>
      </c>
    </row>
    <row r="18" spans="1:18" x14ac:dyDescent="0.3">
      <c r="A18" s="81" t="s">
        <v>37</v>
      </c>
      <c r="B18" s="93">
        <f t="shared" ref="B18:B19" si="1">C18+D18</f>
        <v>116.69457093496329</v>
      </c>
      <c r="C18" s="43">
        <f>C15*C17</f>
        <v>94.829947246388883</v>
      </c>
      <c r="D18" s="43">
        <f>D15*D17</f>
        <v>21.864623688574415</v>
      </c>
      <c r="F18" s="32" t="s">
        <v>18</v>
      </c>
      <c r="G18" s="33">
        <v>1.0073000000000001</v>
      </c>
      <c r="H18" s="35">
        <v>1.0109999999999999</v>
      </c>
      <c r="I18" s="46">
        <v>1.0089999999999999</v>
      </c>
      <c r="J18" s="36">
        <v>1.0085999999999999</v>
      </c>
      <c r="K18" s="36"/>
      <c r="L18" s="37"/>
      <c r="N18" s="38" t="s">
        <v>18</v>
      </c>
      <c r="O18" s="39">
        <v>1.0044999999999999</v>
      </c>
      <c r="P18" s="40">
        <v>1.0029999999999999</v>
      </c>
      <c r="Q18" s="40">
        <v>1.0025999999999999</v>
      </c>
      <c r="R18" s="41">
        <v>1.0024</v>
      </c>
    </row>
    <row r="19" spans="1:18" ht="21" customHeight="1" x14ac:dyDescent="0.3">
      <c r="A19" s="79" t="s">
        <v>25</v>
      </c>
      <c r="B19" s="93">
        <f t="shared" si="1"/>
        <v>117.74482207337796</v>
      </c>
      <c r="C19" s="43">
        <f>C18*I17</f>
        <v>95.683416771606375</v>
      </c>
      <c r="D19" s="43">
        <f>D18*I17</f>
        <v>22.061405301771583</v>
      </c>
      <c r="F19" s="32" t="s">
        <v>19</v>
      </c>
      <c r="G19" s="33">
        <v>1.0073000000000001</v>
      </c>
      <c r="H19" s="35">
        <v>1.0109999999999999</v>
      </c>
      <c r="I19" s="46">
        <v>1.0089999999999999</v>
      </c>
      <c r="J19" s="36">
        <v>1.0085999999999999</v>
      </c>
      <c r="K19" s="36"/>
      <c r="L19" s="37"/>
      <c r="N19" s="38" t="s">
        <v>19</v>
      </c>
      <c r="O19" s="39">
        <v>1.0044999999999999</v>
      </c>
      <c r="P19" s="40">
        <v>1.0029999999999999</v>
      </c>
      <c r="Q19" s="40">
        <v>1.0025999999999999</v>
      </c>
      <c r="R19" s="41">
        <v>1.0024</v>
      </c>
    </row>
    <row r="20" spans="1:18" ht="11.25" customHeight="1" x14ac:dyDescent="0.3">
      <c r="A20" s="79"/>
      <c r="B20" s="79"/>
      <c r="C20" s="43"/>
      <c r="D20" s="43"/>
      <c r="F20" s="32" t="s">
        <v>20</v>
      </c>
      <c r="G20" s="33">
        <v>1.0073000000000001</v>
      </c>
      <c r="H20" s="35">
        <v>1.0109999999999999</v>
      </c>
      <c r="I20" s="35">
        <v>1.0089999999999999</v>
      </c>
      <c r="J20" s="36">
        <v>1.0085999999999999</v>
      </c>
      <c r="K20" s="36"/>
      <c r="L20" s="37"/>
      <c r="N20" s="38" t="s">
        <v>20</v>
      </c>
      <c r="O20" s="39">
        <v>1.0044999999999999</v>
      </c>
      <c r="P20" s="40">
        <v>1.0029999999999999</v>
      </c>
      <c r="Q20" s="40">
        <v>1.0025999999999999</v>
      </c>
      <c r="R20" s="41">
        <v>1.0024</v>
      </c>
    </row>
    <row r="21" spans="1:18" ht="10.5" customHeight="1" thickBot="1" x14ac:dyDescent="0.35">
      <c r="A21" s="79"/>
      <c r="B21" s="79"/>
      <c r="C21" s="79"/>
      <c r="D21" s="43"/>
      <c r="F21" s="49" t="s">
        <v>21</v>
      </c>
      <c r="G21" s="50">
        <v>1.0073000000000001</v>
      </c>
      <c r="H21" s="51">
        <v>1.0109999999999999</v>
      </c>
      <c r="I21" s="52">
        <v>1.0089999999999999</v>
      </c>
      <c r="J21" s="53">
        <v>1.0085999999999999</v>
      </c>
      <c r="K21" s="53"/>
      <c r="L21" s="54"/>
      <c r="N21" s="55" t="s">
        <v>21</v>
      </c>
      <c r="O21" s="56">
        <v>1.0044999999999999</v>
      </c>
      <c r="P21" s="57">
        <v>1.0029999999999999</v>
      </c>
      <c r="Q21" s="57">
        <v>1.0025999999999999</v>
      </c>
      <c r="R21" s="58">
        <v>1.0024</v>
      </c>
    </row>
    <row r="22" spans="1:18" ht="10.5" customHeight="1" x14ac:dyDescent="0.3">
      <c r="A22" s="79"/>
      <c r="B22" s="79"/>
      <c r="C22" s="79"/>
      <c r="D22" s="43"/>
    </row>
    <row r="23" spans="1:18" ht="0.75" customHeight="1" x14ac:dyDescent="0.3">
      <c r="A23" s="48"/>
      <c r="B23" s="48"/>
      <c r="C23" s="48"/>
      <c r="D23" s="47"/>
    </row>
    <row r="24" spans="1:18" s="61" customFormat="1" x14ac:dyDescent="0.3">
      <c r="A24" s="59" t="s">
        <v>47</v>
      </c>
      <c r="B24" s="94">
        <f t="shared" ref="B24:B35" si="2">C24+D24</f>
        <v>117.74482207337796</v>
      </c>
      <c r="C24" s="60">
        <f>SUM(C19:C19)</f>
        <v>95.683416771606375</v>
      </c>
      <c r="D24" s="60">
        <f>SUM(D19:D19)</f>
        <v>22.061405301771583</v>
      </c>
    </row>
    <row r="25" spans="1:18" ht="27.75" customHeight="1" x14ac:dyDescent="0.3">
      <c r="A25" s="62" t="s">
        <v>47</v>
      </c>
      <c r="B25" s="93">
        <f t="shared" si="2"/>
        <v>117.74482207337796</v>
      </c>
      <c r="C25" s="47">
        <f>C24</f>
        <v>95.683416771606375</v>
      </c>
      <c r="D25" s="47">
        <f>D24</f>
        <v>22.061405301771583</v>
      </c>
    </row>
    <row r="26" spans="1:18" ht="14.25" customHeight="1" x14ac:dyDescent="0.3">
      <c r="A26" s="62" t="s">
        <v>54</v>
      </c>
      <c r="B26" s="93">
        <f>C26+D26</f>
        <v>4.4122810603543163</v>
      </c>
      <c r="C26" s="47"/>
      <c r="D26" s="47">
        <f>D25*0.2</f>
        <v>4.4122810603543163</v>
      </c>
    </row>
    <row r="27" spans="1:18" ht="27.75" customHeight="1" x14ac:dyDescent="0.3">
      <c r="A27" s="62" t="s">
        <v>55</v>
      </c>
      <c r="B27" s="93">
        <f>C27+D27</f>
        <v>122.15710313373228</v>
      </c>
      <c r="C27" s="47">
        <f>C25</f>
        <v>95.683416771606375</v>
      </c>
      <c r="D27" s="47">
        <f>D25+D26</f>
        <v>26.4736863621259</v>
      </c>
    </row>
    <row r="28" spans="1:18" ht="26.25" customHeight="1" x14ac:dyDescent="0.3">
      <c r="A28" s="11" t="s">
        <v>22</v>
      </c>
      <c r="B28" s="93">
        <f t="shared" si="2"/>
        <v>3.0739999999999998</v>
      </c>
      <c r="C28" s="42">
        <f>C30+C31+C32</f>
        <v>2.665</v>
      </c>
      <c r="D28" s="42">
        <f>D30+D31+D32</f>
        <v>0.40900000000000003</v>
      </c>
      <c r="E28" t="s">
        <v>23</v>
      </c>
    </row>
    <row r="29" spans="1:18" hidden="1" x14ac:dyDescent="0.3">
      <c r="A29" s="48" t="s">
        <v>24</v>
      </c>
      <c r="B29" s="93">
        <f t="shared" si="2"/>
        <v>0</v>
      </c>
      <c r="C29" s="48"/>
      <c r="D29" s="63"/>
    </row>
    <row r="30" spans="1:18" x14ac:dyDescent="0.3">
      <c r="A30" s="48" t="s">
        <v>34</v>
      </c>
      <c r="B30" s="77">
        <f t="shared" si="2"/>
        <v>2.5260000000000002</v>
      </c>
      <c r="C30" s="86">
        <v>2.2090000000000001</v>
      </c>
      <c r="D30" s="87">
        <v>0.317</v>
      </c>
    </row>
    <row r="31" spans="1:18" x14ac:dyDescent="0.3">
      <c r="A31" s="48" t="s">
        <v>35</v>
      </c>
      <c r="B31" s="77">
        <f t="shared" si="2"/>
        <v>0.54800000000000004</v>
      </c>
      <c r="C31" s="86">
        <v>0.45600000000000002</v>
      </c>
      <c r="D31" s="87">
        <v>9.1999999999999998E-2</v>
      </c>
    </row>
    <row r="32" spans="1:18" ht="6" customHeight="1" x14ac:dyDescent="0.3">
      <c r="A32" s="64"/>
      <c r="B32" s="64"/>
      <c r="C32" s="88"/>
      <c r="D32" s="87"/>
      <c r="E32" s="65"/>
    </row>
    <row r="33" spans="1:11" x14ac:dyDescent="0.3">
      <c r="A33" s="64" t="s">
        <v>25</v>
      </c>
      <c r="B33" s="77">
        <f t="shared" si="2"/>
        <v>3.1479396544231615</v>
      </c>
      <c r="C33" s="87">
        <f>C28*P21*Q10*Q11*Q12*Q13*Q14*Q15*Q16*Q17</f>
        <v>2.7291018799732352</v>
      </c>
      <c r="D33" s="87">
        <f>D28*P21*Q10*Q11*Q12*Q13*Q14*Q15*Q16*Q17</f>
        <v>0.4188377744499262</v>
      </c>
      <c r="E33" s="65"/>
    </row>
    <row r="34" spans="1:11" x14ac:dyDescent="0.3">
      <c r="A34" s="48" t="s">
        <v>26</v>
      </c>
      <c r="B34" s="77">
        <f t="shared" si="2"/>
        <v>6.0999999999999999E-2</v>
      </c>
      <c r="C34" s="86">
        <f>0.044+0.009</f>
        <v>5.2999999999999999E-2</v>
      </c>
      <c r="D34" s="87">
        <f>D14</f>
        <v>8.0000000000000002E-3</v>
      </c>
      <c r="E34" s="65"/>
    </row>
    <row r="35" spans="1:11" x14ac:dyDescent="0.3">
      <c r="A35" s="48" t="s">
        <v>25</v>
      </c>
      <c r="B35" s="77">
        <f t="shared" si="2"/>
        <v>6.2467247534096569E-2</v>
      </c>
      <c r="C35" s="86">
        <f>C34*P21*Q10*Q11*Q12*Q13*Q14*Q15*Q16*Q17</f>
        <v>5.4274821627985539E-2</v>
      </c>
      <c r="D35" s="87">
        <f>D34*P21*Q10*Q11*Q12*Q13*Q14*Q15*Q16*Q17</f>
        <v>8.1924259061110279E-3</v>
      </c>
      <c r="E35" s="65"/>
    </row>
    <row r="36" spans="1:11" s="61" customFormat="1" ht="27" customHeight="1" x14ac:dyDescent="0.3">
      <c r="A36" s="66" t="s">
        <v>27</v>
      </c>
      <c r="B36" s="89">
        <f>C36+D36</f>
        <v>3.1479396544231615</v>
      </c>
      <c r="C36" s="89">
        <f>C33</f>
        <v>2.7291018799732352</v>
      </c>
      <c r="D36" s="90">
        <f>D33</f>
        <v>0.4188377744499262</v>
      </c>
      <c r="F36" s="67"/>
    </row>
    <row r="37" spans="1:11" hidden="1" x14ac:dyDescent="0.3">
      <c r="A37" s="68" t="s">
        <v>24</v>
      </c>
      <c r="B37" s="96"/>
      <c r="C37" s="91"/>
      <c r="D37" s="92" t="e">
        <f>D29*D17*#REF!</f>
        <v>#REF!</v>
      </c>
    </row>
    <row r="38" spans="1:11" x14ac:dyDescent="0.3">
      <c r="A38" s="68" t="s">
        <v>28</v>
      </c>
      <c r="B38" s="96">
        <f>C38+D38</f>
        <v>6.2467247534096569E-2</v>
      </c>
      <c r="C38" s="91">
        <f>C35</f>
        <v>5.4274821627985539E-2</v>
      </c>
      <c r="D38" s="92">
        <f>D35</f>
        <v>8.1924259061110279E-3</v>
      </c>
    </row>
    <row r="39" spans="1:11" x14ac:dyDescent="0.3">
      <c r="A39" s="68" t="s">
        <v>53</v>
      </c>
      <c r="B39" s="96">
        <f>C39+D39</f>
        <v>0.64208138039145157</v>
      </c>
      <c r="C39" s="91">
        <f t="shared" ref="C39:D39" si="3">(C36+C38)*0.2</f>
        <v>0.55667534032024413</v>
      </c>
      <c r="D39" s="91">
        <f t="shared" si="3"/>
        <v>8.5406040071207445E-2</v>
      </c>
    </row>
    <row r="40" spans="1:11" x14ac:dyDescent="0.3">
      <c r="A40" s="97" t="s">
        <v>52</v>
      </c>
      <c r="B40" s="107">
        <f>C40+D40</f>
        <v>3.8524882823487099</v>
      </c>
      <c r="C40" s="89">
        <f>(C38+C36)*1.2</f>
        <v>3.340052041921465</v>
      </c>
      <c r="D40" s="89">
        <f>(D38+D36)*1.2</f>
        <v>0.51243624042724467</v>
      </c>
    </row>
    <row r="41" spans="1:11" s="69" customFormat="1" ht="28.5" customHeight="1" x14ac:dyDescent="0.3">
      <c r="A41" s="99" t="s">
        <v>29</v>
      </c>
      <c r="B41" s="100">
        <f>C41+D41</f>
        <v>126.00959141608098</v>
      </c>
      <c r="C41" s="100">
        <f>C27+C40</f>
        <v>99.023468813527842</v>
      </c>
      <c r="D41" s="100">
        <f>D27+D40</f>
        <v>26.986122602553145</v>
      </c>
      <c r="G41" s="70"/>
      <c r="J41" s="71"/>
      <c r="K41" s="71"/>
    </row>
    <row r="42" spans="1:11" s="69" customFormat="1" ht="6" customHeight="1" x14ac:dyDescent="0.3">
      <c r="A42" s="105"/>
      <c r="B42" s="101"/>
      <c r="C42" s="101"/>
      <c r="D42" s="101"/>
      <c r="G42" s="70"/>
      <c r="J42" s="71"/>
      <c r="K42" s="71"/>
    </row>
    <row r="43" spans="1:11" s="69" customFormat="1" ht="14.25" customHeight="1" x14ac:dyDescent="0.3">
      <c r="A43" s="102" t="s">
        <v>44</v>
      </c>
      <c r="B43" s="100">
        <f>C43+D43</f>
        <v>1.9849999999999999</v>
      </c>
      <c r="C43" s="100">
        <f t="shared" ref="C43:D43" si="4">C13</f>
        <v>1.5389999999999999</v>
      </c>
      <c r="D43" s="100">
        <f t="shared" si="4"/>
        <v>0.44600000000000001</v>
      </c>
      <c r="G43" s="70"/>
      <c r="J43" s="71"/>
      <c r="K43" s="71"/>
    </row>
    <row r="44" spans="1:11" s="69" customFormat="1" ht="12.75" customHeight="1" x14ac:dyDescent="0.3">
      <c r="A44" s="103" t="s">
        <v>45</v>
      </c>
      <c r="B44" s="100">
        <v>1.0760000000000001</v>
      </c>
      <c r="C44" s="100">
        <f>C17</f>
        <v>1.0764387400834192</v>
      </c>
      <c r="D44" s="100">
        <f>D17</f>
        <v>1.0764387400834192</v>
      </c>
      <c r="G44" s="70"/>
      <c r="J44" s="71"/>
      <c r="K44" s="71"/>
    </row>
    <row r="45" spans="1:11" s="69" customFormat="1" ht="28.5" customHeight="1" x14ac:dyDescent="0.3">
      <c r="A45" s="104" t="s">
        <v>46</v>
      </c>
      <c r="B45" s="98">
        <f>C45+D45</f>
        <v>2.1367308990655869</v>
      </c>
      <c r="C45" s="98">
        <f>C43*C44</f>
        <v>1.656639220988382</v>
      </c>
      <c r="D45" s="98">
        <f>D43*D44</f>
        <v>0.48009167807720499</v>
      </c>
      <c r="G45" s="70"/>
      <c r="J45" s="71"/>
      <c r="K45" s="71"/>
    </row>
    <row r="46" spans="1:11" s="69" customFormat="1" ht="12" customHeight="1" x14ac:dyDescent="0.3">
      <c r="A46" s="64" t="s">
        <v>50</v>
      </c>
      <c r="B46" s="98">
        <v>1.014</v>
      </c>
      <c r="C46" s="98">
        <f>I17*Q18*Q19</f>
        <v>1.0142536208399997</v>
      </c>
      <c r="D46" s="98">
        <f>I17*Q18*Q19</f>
        <v>1.0142536208399997</v>
      </c>
      <c r="G46" s="70"/>
      <c r="J46" s="71"/>
      <c r="K46" s="71"/>
    </row>
    <row r="47" spans="1:11" s="69" customFormat="1" ht="28.5" customHeight="1" x14ac:dyDescent="0.3">
      <c r="A47" s="106" t="s">
        <v>48</v>
      </c>
      <c r="B47" s="100">
        <f>C47+D47</f>
        <v>2.1671870511379794</v>
      </c>
      <c r="C47" s="100">
        <f>C45*C46</f>
        <v>1.6802523283130228</v>
      </c>
      <c r="D47" s="100">
        <f>D45*D46</f>
        <v>0.48693472282495665</v>
      </c>
      <c r="G47" s="70"/>
      <c r="J47" s="71"/>
      <c r="K47" s="71"/>
    </row>
    <row r="48" spans="1:11" ht="15" customHeight="1" x14ac:dyDescent="0.3">
      <c r="A48" s="108" t="s">
        <v>43</v>
      </c>
      <c r="B48" s="109">
        <f>C48+D48</f>
        <v>9.7386944564991335E-2</v>
      </c>
      <c r="C48" s="108"/>
      <c r="D48" s="110">
        <f>D47*0.2</f>
        <v>9.7386944564991335E-2</v>
      </c>
      <c r="G48" s="72"/>
    </row>
    <row r="49" spans="1:7" ht="30" customHeight="1" x14ac:dyDescent="0.3">
      <c r="A49" s="99" t="s">
        <v>56</v>
      </c>
      <c r="B49" s="111">
        <f>C49+D49</f>
        <v>2.2645739957029707</v>
      </c>
      <c r="C49" s="112">
        <f>C47+C48</f>
        <v>1.6802523283130228</v>
      </c>
      <c r="D49" s="112">
        <f>D47+D48</f>
        <v>0.58432166738994795</v>
      </c>
      <c r="E49" s="113">
        <f>D48+D39+D26</f>
        <v>4.5950740449905147</v>
      </c>
      <c r="G49" s="72"/>
    </row>
    <row r="50" spans="1:7" s="114" customFormat="1" ht="10.199999999999999" x14ac:dyDescent="0.2">
      <c r="A50" s="115"/>
      <c r="B50" s="115"/>
      <c r="C50" s="115"/>
      <c r="D50" s="116"/>
    </row>
    <row r="51" spans="1:7" x14ac:dyDescent="0.3">
      <c r="A51" s="1" t="s">
        <v>41</v>
      </c>
      <c r="B51" s="1"/>
      <c r="C51" s="1"/>
      <c r="D51" s="95" t="s">
        <v>42</v>
      </c>
    </row>
    <row r="52" spans="1:7" s="114" customFormat="1" ht="10.199999999999999" x14ac:dyDescent="0.2">
      <c r="A52" s="115"/>
      <c r="B52" s="115"/>
      <c r="C52" s="115"/>
      <c r="D52" s="116"/>
    </row>
    <row r="53" spans="1:7" x14ac:dyDescent="0.3">
      <c r="A53" s="115" t="s">
        <v>57</v>
      </c>
      <c r="B53" s="1"/>
      <c r="C53" s="1"/>
      <c r="D53" s="73"/>
    </row>
    <row r="67" spans="6:6" x14ac:dyDescent="0.3">
      <c r="F67" s="74"/>
    </row>
  </sheetData>
  <mergeCells count="7">
    <mergeCell ref="A3:E3"/>
    <mergeCell ref="A4:D4"/>
    <mergeCell ref="F8:L8"/>
    <mergeCell ref="N8:R8"/>
    <mergeCell ref="C6:D6"/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Независимости 185</vt:lpstr>
      <vt:lpstr>'Независимости 185'!Область_печати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Добранский</dc:creator>
  <cp:lastModifiedBy>Пользователь</cp:lastModifiedBy>
  <cp:lastPrinted>2026-05-28T13:52:02Z</cp:lastPrinted>
  <dcterms:created xsi:type="dcterms:W3CDTF">2026-05-21T16:16:12Z</dcterms:created>
  <dcterms:modified xsi:type="dcterms:W3CDTF">2026-06-19T08:08:38Z</dcterms:modified>
</cp:coreProperties>
</file>