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1BB5D143-5EEA-4B73-BA71-B0F5D32DD5F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Федорова 3" sheetId="5" r:id="rId1"/>
    <sheet name="Лист1" sheetId="6" r:id="rId2"/>
  </sheets>
  <definedNames>
    <definedName name="_xlnm.Print_Area" localSheetId="1">Лист1!$A$1:$B$41</definedName>
    <definedName name="_xlnm.Print_Area" localSheetId="0">'Федорова 3'!$A$1:$B$41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4" i="6" l="1"/>
  <c r="B8" i="6"/>
  <c r="B32" i="6"/>
  <c r="B16" i="6" l="1"/>
  <c r="B9" i="6"/>
  <c r="B25" i="6"/>
  <c r="B30" i="6" s="1"/>
  <c r="B33" i="6" s="1"/>
  <c r="B13" i="6"/>
  <c r="B31" i="6" s="1"/>
  <c r="B35" i="6" s="1"/>
  <c r="B34" i="6"/>
  <c r="B32" i="5"/>
  <c r="B31" i="5"/>
  <c r="B30" i="5"/>
  <c r="B25" i="5"/>
  <c r="B20" i="5"/>
  <c r="B19" i="5"/>
  <c r="B18" i="5"/>
  <c r="B13" i="5"/>
  <c r="B14" i="5" s="1"/>
  <c r="B9" i="5"/>
  <c r="B17" i="6" l="1"/>
  <c r="B8" i="5"/>
  <c r="B16" i="5"/>
  <c r="B19" i="6" l="1"/>
  <c r="B20" i="6"/>
  <c r="B18" i="6"/>
  <c r="B35" i="5"/>
  <c r="B17" i="5"/>
  <c r="B22" i="6" l="1"/>
  <c r="B36" i="6" s="1"/>
  <c r="B23" i="6"/>
  <c r="B33" i="5"/>
  <c r="B22" i="5" l="1"/>
  <c r="B23" i="5" s="1"/>
  <c r="B36" i="5" l="1"/>
  <c r="B34" i="5"/>
</calcChain>
</file>

<file path=xl/sharedStrings.xml><?xml version="1.0" encoding="utf-8"?>
<sst xmlns="http://schemas.openxmlformats.org/spreadsheetml/2006/main" count="123" uniqueCount="54">
  <si>
    <t>прогнозный индекс на дату нач.строит.</t>
  </si>
  <si>
    <t>стоимость на дату начала строительства</t>
  </si>
  <si>
    <t>янв</t>
  </si>
  <si>
    <t>фев</t>
  </si>
  <si>
    <t>март</t>
  </si>
  <si>
    <t>май</t>
  </si>
  <si>
    <t>июнь</t>
  </si>
  <si>
    <t>июль</t>
  </si>
  <si>
    <t>авг</t>
  </si>
  <si>
    <t>сен</t>
  </si>
  <si>
    <t>окт</t>
  </si>
  <si>
    <t>дек</t>
  </si>
  <si>
    <t>стоимость на дату окончания строительтсва</t>
  </si>
  <si>
    <t>электрооборудование</t>
  </si>
  <si>
    <t>ноя</t>
  </si>
  <si>
    <t>апрель</t>
  </si>
  <si>
    <t>средства при производстве работ в зимнее время</t>
  </si>
  <si>
    <t>Стоимость оборудования на дату окончания строительства</t>
  </si>
  <si>
    <t>объектная</t>
  </si>
  <si>
    <t>СМР</t>
  </si>
  <si>
    <t>Приложение 1</t>
  </si>
  <si>
    <t>Стоимость на дату окончания строительства с учетом стоимости оборудования Подрядчика</t>
  </si>
  <si>
    <t>средства по уплате обязательных страховых взносов 34%</t>
  </si>
  <si>
    <t>капремонт</t>
  </si>
  <si>
    <t>стоимость (капремонт) на дату разработки ПД</t>
  </si>
  <si>
    <t>Стоимость оборудования на дату разработки ПД</t>
  </si>
  <si>
    <t>дата разраб. ПСД</t>
  </si>
  <si>
    <t>начало СМР</t>
  </si>
  <si>
    <t>Оборудование</t>
  </si>
  <si>
    <t>стоимость главы 2-8, без учета стоимости оборудования</t>
  </si>
  <si>
    <t>Транспорт оборудования</t>
  </si>
  <si>
    <t xml:space="preserve">Транспорт оборудования </t>
  </si>
  <si>
    <t>Стоимость транспорта на дату окончания строительства</t>
  </si>
  <si>
    <t>стоимость оборудования (электрооборудование, системы связи) (справочно)</t>
  </si>
  <si>
    <t>Первый заместитель директора-</t>
  </si>
  <si>
    <t>главный инженер</t>
  </si>
  <si>
    <t>П.А.Ролич</t>
  </si>
  <si>
    <t xml:space="preserve">Расчет стоимости СМР  по объекту                                                </t>
  </si>
  <si>
    <t xml:space="preserve">  "Модернизация системы противодымной защиты в жилом доме 3
 по ул. Федорова в городе Минске"   </t>
  </si>
  <si>
    <t>август 2026, норма задела 50%</t>
  </si>
  <si>
    <t>сентябрь 2026, норма задела 50%</t>
  </si>
  <si>
    <t>октябрь 2026, норма задела 0%</t>
  </si>
  <si>
    <t>электротехническое</t>
  </si>
  <si>
    <t>август 2026, норма задела 100%</t>
  </si>
  <si>
    <t>средства на аэродинамические испытания, пусконаладочные работы</t>
  </si>
  <si>
    <t>стоимость оборудования (электротехническое, электрооборудование) (справочно)</t>
  </si>
  <si>
    <t>3 месяца</t>
  </si>
  <si>
    <t xml:space="preserve">  "Модернизация системы противодымной защиты в жилом доме № 56
 по ул. Пономаренко в городе Минске"   </t>
  </si>
  <si>
    <t>август 2026, норма задела 30%</t>
  </si>
  <si>
    <t>сентябрь 2026, норма задела 40%</t>
  </si>
  <si>
    <t>октябрь 2026, норма задела 30%</t>
  </si>
  <si>
    <t xml:space="preserve">Заместитель </t>
  </si>
  <si>
    <t>главного инженера</t>
  </si>
  <si>
    <t>А.Л.Радаман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</si>
</sst>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₽_-;\-* #,##0.00\ _₽_-;_-* &quot;-&quot;??\ _₽_-;_-@_-"/>
    <numFmt numFmtId="165" formatCode="_-* #,##0.000_р_._-;\-* #,##0.000_р_._-;_-* &quot;-&quot;??_р_._-;_-@_-"/>
    <numFmt numFmtId="166" formatCode="0.0000"/>
    <numFmt numFmtId="167" formatCode="0.00000"/>
    <numFmt numFmtId="168" formatCode="#,##0.000"/>
    <numFmt numFmtId="169" formatCode="#,##0.00000"/>
    <numFmt numFmtId="170" formatCode="#,##0_ ;\-#,##0\ 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6">
    <xf numFmtId="0" fontId="0" fillId="0" borderId="0" xfId="0"/>
    <xf numFmtId="0" fontId="4" fillId="0" borderId="0" xfId="0" applyFont="1"/>
    <xf numFmtId="165" fontId="3" fillId="0" borderId="1" xfId="1" applyNumberFormat="1" applyFont="1" applyBorder="1"/>
    <xf numFmtId="165" fontId="2" fillId="0" borderId="1" xfId="1" applyNumberFormat="1" applyFont="1" applyBorder="1"/>
    <xf numFmtId="165" fontId="2" fillId="0" borderId="1" xfId="1" applyNumberFormat="1" applyFont="1" applyFill="1" applyBorder="1"/>
    <xf numFmtId="165" fontId="3" fillId="0" borderId="1" xfId="1" applyNumberFormat="1" applyFont="1" applyFill="1" applyBorder="1" applyAlignment="1">
      <alignment wrapText="1"/>
    </xf>
    <xf numFmtId="165" fontId="2" fillId="0" borderId="0" xfId="1" applyNumberFormat="1" applyFont="1"/>
    <xf numFmtId="165" fontId="3" fillId="0" borderId="1" xfId="1" applyNumberFormat="1" applyFont="1" applyBorder="1" applyAlignment="1">
      <alignment horizontal="left" wrapText="1"/>
    </xf>
    <xf numFmtId="165" fontId="3" fillId="0" borderId="1" xfId="1" applyNumberFormat="1" applyFont="1" applyBorder="1" applyAlignment="1">
      <alignment wrapText="1"/>
    </xf>
    <xf numFmtId="0" fontId="2" fillId="0" borderId="0" xfId="0" applyFont="1"/>
    <xf numFmtId="0" fontId="0" fillId="0" borderId="0" xfId="0" applyAlignment="1">
      <alignment horizontal="right"/>
    </xf>
    <xf numFmtId="0" fontId="10" fillId="0" borderId="0" xfId="0" applyFont="1"/>
    <xf numFmtId="14" fontId="12" fillId="0" borderId="0" xfId="0" applyNumberFormat="1" applyFont="1"/>
    <xf numFmtId="167" fontId="0" fillId="0" borderId="0" xfId="0" applyNumberFormat="1"/>
    <xf numFmtId="0" fontId="8" fillId="0" borderId="0" xfId="0" applyFont="1"/>
    <xf numFmtId="167" fontId="13" fillId="0" borderId="0" xfId="0" applyNumberFormat="1" applyFont="1"/>
    <xf numFmtId="0" fontId="3" fillId="0" borderId="0" xfId="0" applyFont="1" applyAlignment="1">
      <alignment wrapText="1"/>
    </xf>
    <xf numFmtId="168" fontId="5" fillId="0" borderId="1" xfId="1" applyNumberFormat="1" applyFont="1" applyBorder="1"/>
    <xf numFmtId="168" fontId="6" fillId="0" borderId="1" xfId="1" applyNumberFormat="1" applyFont="1" applyBorder="1"/>
    <xf numFmtId="168" fontId="3" fillId="0" borderId="1" xfId="1" applyNumberFormat="1" applyFont="1" applyBorder="1"/>
    <xf numFmtId="168" fontId="5" fillId="0" borderId="1" xfId="1" applyNumberFormat="1" applyFont="1" applyFill="1" applyBorder="1"/>
    <xf numFmtId="168" fontId="9" fillId="0" borderId="1" xfId="1" applyNumberFormat="1" applyFont="1" applyFill="1" applyBorder="1"/>
    <xf numFmtId="168" fontId="2" fillId="0" borderId="1" xfId="1" applyNumberFormat="1" applyFont="1" applyBorder="1"/>
    <xf numFmtId="168" fontId="8" fillId="0" borderId="0" xfId="0" applyNumberFormat="1" applyFont="1" applyAlignment="1">
      <alignment horizontal="right"/>
    </xf>
    <xf numFmtId="168" fontId="3" fillId="0" borderId="1" xfId="1" applyNumberFormat="1" applyFont="1" applyBorder="1" applyAlignment="1">
      <alignment horizontal="center" wrapText="1"/>
    </xf>
    <xf numFmtId="168" fontId="11" fillId="0" borderId="1" xfId="1" applyNumberFormat="1" applyFont="1" applyFill="1" applyBorder="1"/>
    <xf numFmtId="168" fontId="2" fillId="0" borderId="0" xfId="1" applyNumberFormat="1" applyFont="1"/>
    <xf numFmtId="168" fontId="3" fillId="0" borderId="0" xfId="0" applyNumberFormat="1" applyFont="1"/>
    <xf numFmtId="168" fontId="7" fillId="0" borderId="0" xfId="0" applyNumberFormat="1" applyFont="1"/>
    <xf numFmtId="168" fontId="2" fillId="0" borderId="0" xfId="0" applyNumberFormat="1" applyFont="1" applyAlignment="1">
      <alignment horizontal="right"/>
    </xf>
    <xf numFmtId="168" fontId="0" fillId="0" borderId="0" xfId="0" applyNumberFormat="1"/>
    <xf numFmtId="0" fontId="0" fillId="2" borderId="0" xfId="0" applyFill="1"/>
    <xf numFmtId="165" fontId="3" fillId="2" borderId="1" xfId="1" applyNumberFormat="1" applyFont="1" applyFill="1" applyBorder="1"/>
    <xf numFmtId="168" fontId="9" fillId="2" borderId="1" xfId="1" applyNumberFormat="1" applyFont="1" applyFill="1" applyBorder="1"/>
    <xf numFmtId="167" fontId="9" fillId="2" borderId="1" xfId="1" applyNumberFormat="1" applyFont="1" applyFill="1" applyBorder="1"/>
    <xf numFmtId="0" fontId="3" fillId="3" borderId="1" xfId="0" applyFont="1" applyFill="1" applyBorder="1" applyAlignment="1">
      <alignment wrapText="1"/>
    </xf>
    <xf numFmtId="168" fontId="3" fillId="3" borderId="1" xfId="0" applyNumberFormat="1" applyFont="1" applyFill="1" applyBorder="1"/>
    <xf numFmtId="0" fontId="0" fillId="3" borderId="0" xfId="0" applyFill="1"/>
    <xf numFmtId="167" fontId="13" fillId="3" borderId="0" xfId="0" applyNumberFormat="1" applyFont="1" applyFill="1"/>
    <xf numFmtId="169" fontId="0" fillId="3" borderId="0" xfId="0" applyNumberFormat="1" applyFill="1"/>
    <xf numFmtId="0" fontId="8" fillId="0" borderId="1" xfId="0" applyFont="1" applyBorder="1" applyAlignment="1">
      <alignment horizontal="left"/>
    </xf>
    <xf numFmtId="14" fontId="9" fillId="0" borderId="1" xfId="0" applyNumberFormat="1" applyFont="1" applyBorder="1"/>
    <xf numFmtId="14" fontId="9" fillId="4" borderId="1" xfId="0" applyNumberFormat="1" applyFont="1" applyFill="1" applyBorder="1"/>
    <xf numFmtId="0" fontId="8" fillId="0" borderId="2" xfId="0" applyFont="1" applyBorder="1"/>
    <xf numFmtId="0" fontId="9" fillId="0" borderId="5" xfId="0" applyFont="1" applyBorder="1" applyAlignment="1">
      <alignment horizontal="center"/>
    </xf>
    <xf numFmtId="0" fontId="8" fillId="5" borderId="6" xfId="0" applyFont="1" applyFill="1" applyBorder="1"/>
    <xf numFmtId="0" fontId="3" fillId="5" borderId="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166" fontId="8" fillId="6" borderId="11" xfId="0" applyNumberFormat="1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166" fontId="8" fillId="6" borderId="12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166" fontId="8" fillId="6" borderId="1" xfId="0" applyNumberFormat="1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8" fillId="6" borderId="15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166" fontId="8" fillId="6" borderId="15" xfId="0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166" fontId="8" fillId="6" borderId="18" xfId="0" applyNumberFormat="1" applyFont="1" applyFill="1" applyBorder="1" applyAlignment="1">
      <alignment horizontal="center"/>
    </xf>
    <xf numFmtId="0" fontId="8" fillId="6" borderId="18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166" fontId="8" fillId="6" borderId="19" xfId="0" applyNumberFormat="1" applyFont="1" applyFill="1" applyBorder="1" applyAlignment="1">
      <alignment horizontal="center"/>
    </xf>
    <xf numFmtId="165" fontId="3" fillId="0" borderId="0" xfId="2" applyNumberFormat="1" applyFont="1" applyBorder="1" applyAlignment="1">
      <alignment horizontal="right" vertical="top" wrapText="1"/>
    </xf>
    <xf numFmtId="170" fontId="3" fillId="0" borderId="0" xfId="2" applyNumberFormat="1" applyFont="1" applyBorder="1" applyAlignment="1">
      <alignment horizontal="center" vertical="top" wrapText="1"/>
    </xf>
    <xf numFmtId="165" fontId="3" fillId="0" borderId="0" xfId="2" applyNumberFormat="1" applyFont="1" applyBorder="1" applyAlignment="1">
      <alignment horizontal="left" vertical="top" wrapText="1"/>
    </xf>
    <xf numFmtId="0" fontId="8" fillId="0" borderId="0" xfId="0" applyFont="1" applyBorder="1" applyAlignment="1">
      <alignment horizontal="left"/>
    </xf>
    <xf numFmtId="14" fontId="9" fillId="4" borderId="0" xfId="0" applyNumberFormat="1" applyFont="1" applyFill="1" applyBorder="1"/>
    <xf numFmtId="0" fontId="8" fillId="0" borderId="10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66" fontId="11" fillId="6" borderId="1" xfId="0" applyNumberFormat="1" applyFont="1" applyFill="1" applyBorder="1" applyAlignment="1">
      <alignment horizontal="center"/>
    </xf>
    <xf numFmtId="166" fontId="8" fillId="0" borderId="10" xfId="0" applyNumberFormat="1" applyFont="1" applyFill="1" applyBorder="1" applyAlignment="1">
      <alignment horizontal="center"/>
    </xf>
    <xf numFmtId="166" fontId="8" fillId="0" borderId="11" xfId="0" applyNumberFormat="1" applyFont="1" applyFill="1" applyBorder="1" applyAlignment="1">
      <alignment horizontal="center"/>
    </xf>
    <xf numFmtId="166" fontId="8" fillId="0" borderId="14" xfId="0" applyNumberFormat="1" applyFont="1" applyFill="1" applyBorder="1" applyAlignment="1">
      <alignment horizontal="center"/>
    </xf>
    <xf numFmtId="166" fontId="8" fillId="0" borderId="1" xfId="0" applyNumberFormat="1" applyFont="1" applyFill="1" applyBorder="1" applyAlignment="1">
      <alignment horizontal="center"/>
    </xf>
    <xf numFmtId="166" fontId="11" fillId="0" borderId="1" xfId="0" applyNumberFormat="1" applyFont="1" applyFill="1" applyBorder="1" applyAlignment="1">
      <alignment horizontal="center"/>
    </xf>
    <xf numFmtId="166" fontId="8" fillId="0" borderId="17" xfId="0" applyNumberFormat="1" applyFont="1" applyFill="1" applyBorder="1" applyAlignment="1">
      <alignment horizontal="center"/>
    </xf>
    <xf numFmtId="166" fontId="8" fillId="0" borderId="18" xfId="0" applyNumberFormat="1" applyFont="1" applyFill="1" applyBorder="1" applyAlignment="1">
      <alignment horizontal="center"/>
    </xf>
    <xf numFmtId="168" fontId="8" fillId="0" borderId="0" xfId="0" applyNumberFormat="1" applyFont="1"/>
    <xf numFmtId="165" fontId="3" fillId="7" borderId="1" xfId="1" applyNumberFormat="1" applyFont="1" applyFill="1" applyBorder="1" applyAlignment="1">
      <alignment horizontal="left" wrapText="1"/>
    </xf>
    <xf numFmtId="168" fontId="9" fillId="7" borderId="1" xfId="1" applyNumberFormat="1" applyFont="1" applyFill="1" applyBorder="1"/>
    <xf numFmtId="165" fontId="2" fillId="7" borderId="1" xfId="1" applyNumberFormat="1" applyFont="1" applyFill="1" applyBorder="1"/>
    <xf numFmtId="168" fontId="8" fillId="7" borderId="1" xfId="1" applyNumberFormat="1" applyFont="1" applyFill="1" applyBorder="1"/>
    <xf numFmtId="165" fontId="3" fillId="0" borderId="0" xfId="2" applyNumberFormat="1" applyFont="1" applyBorder="1" applyAlignment="1">
      <alignment vertical="top" wrapText="1"/>
    </xf>
    <xf numFmtId="165" fontId="2" fillId="4" borderId="1" xfId="1" applyNumberFormat="1" applyFont="1" applyFill="1" applyBorder="1"/>
    <xf numFmtId="166" fontId="6" fillId="6" borderId="1" xfId="0" applyNumberFormat="1" applyFont="1" applyFill="1" applyBorder="1" applyAlignment="1">
      <alignment horizontal="center"/>
    </xf>
    <xf numFmtId="166" fontId="11" fillId="6" borderId="18" xfId="0" applyNumberFormat="1" applyFont="1" applyFill="1" applyBorder="1" applyAlignment="1">
      <alignment horizontal="center"/>
    </xf>
    <xf numFmtId="165" fontId="2" fillId="4" borderId="1" xfId="1" applyNumberFormat="1" applyFont="1" applyFill="1" applyBorder="1" applyAlignment="1">
      <alignment horizontal="left" wrapText="1"/>
    </xf>
    <xf numFmtId="165" fontId="2" fillId="4" borderId="1" xfId="1" applyNumberFormat="1" applyFont="1" applyFill="1" applyBorder="1" applyAlignment="1">
      <alignment wrapText="1"/>
    </xf>
    <xf numFmtId="165" fontId="2" fillId="0" borderId="1" xfId="1" applyNumberFormat="1" applyFont="1" applyFill="1" applyBorder="1" applyAlignment="1">
      <alignment horizontal="left" wrapText="1"/>
    </xf>
    <xf numFmtId="165" fontId="2" fillId="0" borderId="1" xfId="1" applyNumberFormat="1" applyFont="1" applyFill="1" applyBorder="1" applyAlignment="1">
      <alignment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165" fontId="3" fillId="0" borderId="0" xfId="2" applyNumberFormat="1" applyFont="1" applyBorder="1" applyAlignment="1">
      <alignment horizontal="center" vertical="top" wrapText="1"/>
    </xf>
  </cellXfs>
  <cellStyles count="3">
    <cellStyle name="Обычный" xfId="0" builtinId="0"/>
    <cellStyle name="Финансовый" xfId="1" builtinId="3"/>
    <cellStyle name="Финансовый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7"/>
  <sheetViews>
    <sheetView view="pageBreakPreview" zoomScale="60" zoomScaleNormal="120" workbookViewId="0">
      <selection sqref="A1:XFD1048576"/>
    </sheetView>
  </sheetViews>
  <sheetFormatPr defaultRowHeight="15" x14ac:dyDescent="0.25"/>
  <cols>
    <col min="1" max="1" width="53.140625" customWidth="1"/>
    <col min="2" max="2" width="45.5703125" style="30" customWidth="1"/>
    <col min="3" max="3" width="11" customWidth="1"/>
    <col min="4" max="4" width="14.28515625" bestFit="1" customWidth="1"/>
    <col min="5" max="5" width="12.42578125" bestFit="1" customWidth="1"/>
    <col min="6" max="6" width="11.140625" customWidth="1"/>
    <col min="7" max="7" width="15" customWidth="1"/>
    <col min="8" max="8" width="14.42578125" customWidth="1"/>
    <col min="9" max="9" width="9.5703125" customWidth="1"/>
  </cols>
  <sheetData>
    <row r="1" spans="1:16" x14ac:dyDescent="0.25">
      <c r="A1" s="14"/>
      <c r="B1" s="23" t="s">
        <v>20</v>
      </c>
    </row>
    <row r="2" spans="1:16" ht="15" customHeight="1" x14ac:dyDescent="0.25">
      <c r="A2" s="105" t="s">
        <v>37</v>
      </c>
      <c r="B2" s="105"/>
      <c r="C2" s="105"/>
    </row>
    <row r="3" spans="1:16" ht="36.75" customHeight="1" x14ac:dyDescent="0.25">
      <c r="A3" s="105" t="s">
        <v>38</v>
      </c>
      <c r="B3" s="105"/>
      <c r="C3" s="91"/>
      <c r="D3" s="40" t="s">
        <v>26</v>
      </c>
      <c r="E3" s="40"/>
      <c r="F3" s="40"/>
      <c r="G3" s="41">
        <v>45992</v>
      </c>
    </row>
    <row r="4" spans="1:16" ht="13.5" customHeight="1" x14ac:dyDescent="0.25">
      <c r="A4" s="69"/>
      <c r="B4" s="70"/>
      <c r="D4" s="40" t="s">
        <v>27</v>
      </c>
      <c r="E4" s="40"/>
      <c r="F4" s="40"/>
      <c r="G4" s="42">
        <v>46235</v>
      </c>
      <c r="H4" s="42">
        <v>46325</v>
      </c>
      <c r="I4" s="1"/>
    </row>
    <row r="5" spans="1:16" ht="13.5" customHeight="1" x14ac:dyDescent="0.25">
      <c r="A5" s="68"/>
      <c r="B5" s="69"/>
      <c r="C5" s="70"/>
      <c r="D5" s="71"/>
      <c r="E5" s="71"/>
      <c r="F5" s="71"/>
      <c r="G5" s="72"/>
      <c r="H5" s="72"/>
      <c r="I5" s="1"/>
    </row>
    <row r="6" spans="1:16" ht="29.25" customHeight="1" thickBot="1" x14ac:dyDescent="0.3">
      <c r="A6" s="7"/>
      <c r="B6" s="24"/>
      <c r="D6" s="12"/>
      <c r="E6" s="1"/>
      <c r="F6" s="1"/>
      <c r="G6" s="1"/>
      <c r="H6" s="1"/>
      <c r="I6" s="1"/>
      <c r="K6" s="11"/>
    </row>
    <row r="7" spans="1:16" ht="18.75" customHeight="1" thickBot="1" x14ac:dyDescent="0.45">
      <c r="A7" s="7" t="s">
        <v>23</v>
      </c>
      <c r="B7" s="17"/>
      <c r="D7" s="99" t="s">
        <v>19</v>
      </c>
      <c r="E7" s="100"/>
      <c r="F7" s="100"/>
      <c r="G7" s="100"/>
      <c r="H7" s="100"/>
      <c r="I7" s="100"/>
      <c r="J7" s="101"/>
      <c r="L7" s="102" t="s">
        <v>28</v>
      </c>
      <c r="M7" s="103"/>
      <c r="N7" s="103"/>
      <c r="O7" s="103"/>
      <c r="P7" s="104"/>
    </row>
    <row r="8" spans="1:16" ht="30.75" thickBot="1" x14ac:dyDescent="0.3">
      <c r="A8" s="95" t="s">
        <v>29</v>
      </c>
      <c r="B8" s="18">
        <f>258.853-10.571</f>
        <v>248.28200000000001</v>
      </c>
      <c r="D8" s="43"/>
      <c r="E8" s="44">
        <v>2024</v>
      </c>
      <c r="F8" s="44">
        <v>2025</v>
      </c>
      <c r="G8" s="44">
        <v>2026</v>
      </c>
      <c r="H8" s="44">
        <v>2027</v>
      </c>
      <c r="I8" s="44">
        <v>2028</v>
      </c>
      <c r="J8" s="44">
        <v>2029</v>
      </c>
      <c r="L8" s="45"/>
      <c r="M8" s="46">
        <v>2024</v>
      </c>
      <c r="N8" s="47">
        <v>2025</v>
      </c>
      <c r="O8" s="48">
        <v>2026</v>
      </c>
      <c r="P8" s="49">
        <v>2027</v>
      </c>
    </row>
    <row r="9" spans="1:16" ht="30" x14ac:dyDescent="0.25">
      <c r="A9" s="96" t="s">
        <v>33</v>
      </c>
      <c r="B9" s="18">
        <f>23.822+9.577</f>
        <v>33.399000000000001</v>
      </c>
      <c r="D9" s="50" t="s">
        <v>2</v>
      </c>
      <c r="E9" s="73">
        <v>1.0073000000000001</v>
      </c>
      <c r="F9" s="76">
        <v>1.0068999999999999</v>
      </c>
      <c r="G9" s="51">
        <v>1.0089999999999999</v>
      </c>
      <c r="H9" s="52">
        <v>1.0085999999999999</v>
      </c>
      <c r="I9" s="52"/>
      <c r="J9" s="53"/>
      <c r="L9" s="54" t="s">
        <v>2</v>
      </c>
      <c r="M9" s="79">
        <v>1.0048999999999999</v>
      </c>
      <c r="N9" s="80">
        <v>1.0037</v>
      </c>
      <c r="O9" s="80">
        <v>1.0025999999999999</v>
      </c>
      <c r="P9" s="55">
        <v>1.0024</v>
      </c>
    </row>
    <row r="10" spans="1:16" x14ac:dyDescent="0.25">
      <c r="A10" s="92" t="s">
        <v>16</v>
      </c>
      <c r="B10" s="18">
        <v>0.91600000000000004</v>
      </c>
      <c r="D10" s="56" t="s">
        <v>3</v>
      </c>
      <c r="E10" s="74">
        <v>1.0073000000000001</v>
      </c>
      <c r="F10" s="77">
        <v>1.0068999999999999</v>
      </c>
      <c r="G10" s="57">
        <v>1.0089999999999999</v>
      </c>
      <c r="H10" s="58">
        <v>1.0085999999999999</v>
      </c>
      <c r="I10" s="58"/>
      <c r="J10" s="59"/>
      <c r="L10" s="60" t="s">
        <v>3</v>
      </c>
      <c r="M10" s="81">
        <v>1.0048999999999999</v>
      </c>
      <c r="N10" s="82">
        <v>1.0037</v>
      </c>
      <c r="O10" s="82">
        <v>1.0025999999999999</v>
      </c>
      <c r="P10" s="61">
        <v>1.0024</v>
      </c>
    </row>
    <row r="11" spans="1:16" ht="30" x14ac:dyDescent="0.25">
      <c r="A11" s="96" t="s">
        <v>22</v>
      </c>
      <c r="B11" s="18">
        <v>13.005000000000001</v>
      </c>
      <c r="D11" s="56" t="s">
        <v>4</v>
      </c>
      <c r="E11" s="74">
        <v>1.0073000000000001</v>
      </c>
      <c r="F11" s="77">
        <v>1.0068999999999999</v>
      </c>
      <c r="G11" s="57">
        <v>1.0089999999999999</v>
      </c>
      <c r="H11" s="58">
        <v>1.0085999999999999</v>
      </c>
      <c r="I11" s="58"/>
      <c r="J11" s="59"/>
      <c r="L11" s="60" t="s">
        <v>4</v>
      </c>
      <c r="M11" s="81">
        <v>1.0048999999999999</v>
      </c>
      <c r="N11" s="82">
        <v>1.0037</v>
      </c>
      <c r="O11" s="82">
        <v>1.0025999999999999</v>
      </c>
      <c r="P11" s="61">
        <v>1.0024</v>
      </c>
    </row>
    <row r="12" spans="1:16" ht="24.75" customHeight="1" x14ac:dyDescent="0.25">
      <c r="A12" s="96" t="s">
        <v>44</v>
      </c>
      <c r="B12" s="18">
        <v>8.0079999999999991</v>
      </c>
      <c r="D12" s="56" t="s">
        <v>15</v>
      </c>
      <c r="E12" s="74">
        <v>1.0073000000000001</v>
      </c>
      <c r="F12" s="57">
        <v>1.0109999999999999</v>
      </c>
      <c r="G12" s="57">
        <v>1.0089999999999999</v>
      </c>
      <c r="H12" s="58">
        <v>1.0085999999999999</v>
      </c>
      <c r="I12" s="58"/>
      <c r="J12" s="59"/>
      <c r="L12" s="60" t="s">
        <v>15</v>
      </c>
      <c r="M12" s="81">
        <v>1.0048999999999999</v>
      </c>
      <c r="N12" s="82">
        <v>1.0029999999999999</v>
      </c>
      <c r="O12" s="82">
        <v>1.0025999999999999</v>
      </c>
      <c r="P12" s="61">
        <v>1.0024</v>
      </c>
    </row>
    <row r="13" spans="1:16" ht="24.75" customHeight="1" x14ac:dyDescent="0.25">
      <c r="A13" s="96" t="s">
        <v>30</v>
      </c>
      <c r="B13" s="18">
        <f>(54.25+145.71+51.39+5.71+14.01+25.26+30.99+12.92+21.19+36.64+26.48+20.74+19.8+11.36+183.12+8.41)/1000</f>
        <v>0.66798000000000002</v>
      </c>
      <c r="D13" s="56" t="s">
        <v>5</v>
      </c>
      <c r="E13" s="74">
        <v>1.0073000000000001</v>
      </c>
      <c r="F13" s="57">
        <v>1.0109999999999999</v>
      </c>
      <c r="G13" s="57">
        <v>1.0089999999999999</v>
      </c>
      <c r="H13" s="58">
        <v>1.0085999999999999</v>
      </c>
      <c r="I13" s="58"/>
      <c r="J13" s="59"/>
      <c r="L13" s="60" t="s">
        <v>5</v>
      </c>
      <c r="M13" s="81">
        <v>1.0044999999999999</v>
      </c>
      <c r="N13" s="82">
        <v>1.0029999999999999</v>
      </c>
      <c r="O13" s="82">
        <v>1.0025999999999999</v>
      </c>
      <c r="P13" s="61">
        <v>1.0024</v>
      </c>
    </row>
    <row r="14" spans="1:16" ht="24.75" customHeight="1" x14ac:dyDescent="0.25">
      <c r="A14" s="8" t="s">
        <v>24</v>
      </c>
      <c r="B14" s="19">
        <f>B8+B10+B11+B12-B13</f>
        <v>269.54302000000001</v>
      </c>
      <c r="D14" s="56" t="s">
        <v>6</v>
      </c>
      <c r="E14" s="74">
        <v>1.0073000000000001</v>
      </c>
      <c r="F14" s="57">
        <v>1.0109999999999999</v>
      </c>
      <c r="G14" s="57">
        <v>1.0089999999999999</v>
      </c>
      <c r="H14" s="58">
        <v>1.0085999999999999</v>
      </c>
      <c r="I14" s="58"/>
      <c r="J14" s="59"/>
      <c r="L14" s="60" t="s">
        <v>6</v>
      </c>
      <c r="M14" s="81">
        <v>1.0044999999999999</v>
      </c>
      <c r="N14" s="82">
        <v>1.0029999999999999</v>
      </c>
      <c r="O14" s="82">
        <v>1.0025999999999999</v>
      </c>
      <c r="P14" s="61">
        <v>1.0024</v>
      </c>
    </row>
    <row r="15" spans="1:16" ht="15" customHeight="1" x14ac:dyDescent="0.25">
      <c r="A15" s="8"/>
      <c r="B15" s="20"/>
      <c r="D15" s="56" t="s">
        <v>7</v>
      </c>
      <c r="E15" s="74">
        <v>1.0073000000000001</v>
      </c>
      <c r="F15" s="57">
        <v>1.0109999999999999</v>
      </c>
      <c r="G15" s="93">
        <v>1.0089999999999999</v>
      </c>
      <c r="H15" s="58">
        <v>1.0085999999999999</v>
      </c>
      <c r="I15" s="58"/>
      <c r="J15" s="59"/>
      <c r="L15" s="60" t="s">
        <v>7</v>
      </c>
      <c r="M15" s="81">
        <v>1.0044999999999999</v>
      </c>
      <c r="N15" s="82">
        <v>1.0029999999999999</v>
      </c>
      <c r="O15" s="83">
        <v>1.0025999999999999</v>
      </c>
      <c r="P15" s="61">
        <v>1.0024</v>
      </c>
    </row>
    <row r="16" spans="1:16" x14ac:dyDescent="0.25">
      <c r="A16" s="92" t="s">
        <v>0</v>
      </c>
      <c r="B16" s="25">
        <f>F20*G9*G10*G11*G12*G13*G14*G15</f>
        <v>1.0764387400834192</v>
      </c>
      <c r="D16" s="56" t="s">
        <v>8</v>
      </c>
      <c r="E16" s="74">
        <v>1.0073000000000001</v>
      </c>
      <c r="F16" s="93">
        <v>1.0109999999999999</v>
      </c>
      <c r="G16" s="78">
        <v>1.0089999999999999</v>
      </c>
      <c r="H16" s="58">
        <v>1.0085999999999999</v>
      </c>
      <c r="I16" s="58"/>
      <c r="J16" s="59"/>
      <c r="L16" s="60" t="s">
        <v>8</v>
      </c>
      <c r="M16" s="81">
        <v>1.0044999999999999</v>
      </c>
      <c r="N16" s="83">
        <v>1.0029999999999999</v>
      </c>
      <c r="O16" s="82">
        <v>1.0025999999999999</v>
      </c>
      <c r="P16" s="61">
        <v>1.0024</v>
      </c>
    </row>
    <row r="17" spans="1:16" x14ac:dyDescent="0.25">
      <c r="A17" s="2" t="s">
        <v>1</v>
      </c>
      <c r="B17" s="21">
        <f>B14*B16</f>
        <v>290.14654884707988</v>
      </c>
      <c r="D17" s="56" t="s">
        <v>9</v>
      </c>
      <c r="E17" s="74">
        <v>1.0073000000000001</v>
      </c>
      <c r="F17" s="57">
        <v>1.0109999999999999</v>
      </c>
      <c r="G17" s="78">
        <v>1.0089999999999999</v>
      </c>
      <c r="H17" s="58">
        <v>1.0085999999999999</v>
      </c>
      <c r="I17" s="58"/>
      <c r="J17" s="59"/>
      <c r="L17" s="60" t="s">
        <v>9</v>
      </c>
      <c r="M17" s="81">
        <v>1.0044999999999999</v>
      </c>
      <c r="N17" s="82">
        <v>1.0029999999999999</v>
      </c>
      <c r="O17" s="82">
        <v>1.0025999999999999</v>
      </c>
      <c r="P17" s="61">
        <v>1.0024</v>
      </c>
    </row>
    <row r="18" spans="1:16" ht="21" customHeight="1" x14ac:dyDescent="0.25">
      <c r="A18" s="92" t="s">
        <v>39</v>
      </c>
      <c r="B18" s="21">
        <f>B17*0.5*G16</f>
        <v>146.37893389335179</v>
      </c>
      <c r="D18" s="56" t="s">
        <v>10</v>
      </c>
      <c r="E18" s="74">
        <v>1.0073000000000001</v>
      </c>
      <c r="F18" s="57">
        <v>1.0109999999999999</v>
      </c>
      <c r="G18" s="78">
        <v>1.0089999999999999</v>
      </c>
      <c r="H18" s="58">
        <v>1.0085999999999999</v>
      </c>
      <c r="I18" s="58"/>
      <c r="J18" s="59"/>
      <c r="L18" s="60" t="s">
        <v>10</v>
      </c>
      <c r="M18" s="81">
        <v>1.0044999999999999</v>
      </c>
      <c r="N18" s="82">
        <v>1.0029999999999999</v>
      </c>
      <c r="O18" s="82">
        <v>1.0025999999999999</v>
      </c>
      <c r="P18" s="61">
        <v>1.0024</v>
      </c>
    </row>
    <row r="19" spans="1:16" ht="21" customHeight="1" x14ac:dyDescent="0.25">
      <c r="A19" s="92" t="s">
        <v>40</v>
      </c>
      <c r="B19" s="21">
        <f>B17*0.5*G16*G17</f>
        <v>147.69634429839195</v>
      </c>
      <c r="D19" s="56" t="s">
        <v>14</v>
      </c>
      <c r="E19" s="74">
        <v>1.0073000000000001</v>
      </c>
      <c r="F19" s="57">
        <v>1.0109999999999999</v>
      </c>
      <c r="G19" s="57">
        <v>1.0089999999999999</v>
      </c>
      <c r="H19" s="58">
        <v>1.0085999999999999</v>
      </c>
      <c r="I19" s="58"/>
      <c r="J19" s="59"/>
      <c r="L19" s="60" t="s">
        <v>14</v>
      </c>
      <c r="M19" s="81">
        <v>1.0044999999999999</v>
      </c>
      <c r="N19" s="82">
        <v>1.0029999999999999</v>
      </c>
      <c r="O19" s="82">
        <v>1.0025999999999999</v>
      </c>
      <c r="P19" s="61">
        <v>1.0024</v>
      </c>
    </row>
    <row r="20" spans="1:16" ht="19.5" customHeight="1" thickBot="1" x14ac:dyDescent="0.3">
      <c r="A20" s="3" t="s">
        <v>41</v>
      </c>
      <c r="B20" s="21">
        <f>B17*0</f>
        <v>0</v>
      </c>
      <c r="D20" s="62" t="s">
        <v>11</v>
      </c>
      <c r="E20" s="75">
        <v>1.0073000000000001</v>
      </c>
      <c r="F20" s="94">
        <v>1.0109999999999999</v>
      </c>
      <c r="G20" s="63">
        <v>1.0089999999999999</v>
      </c>
      <c r="H20" s="64">
        <v>1.0085999999999999</v>
      </c>
      <c r="I20" s="64"/>
      <c r="J20" s="65"/>
      <c r="L20" s="66" t="s">
        <v>11</v>
      </c>
      <c r="M20" s="84">
        <v>1.0044999999999999</v>
      </c>
      <c r="N20" s="85">
        <v>1.0029999999999999</v>
      </c>
      <c r="O20" s="85">
        <v>1.0025999999999999</v>
      </c>
      <c r="P20" s="67">
        <v>1.0024</v>
      </c>
    </row>
    <row r="21" spans="1:16" ht="0.75" customHeight="1" x14ac:dyDescent="0.25">
      <c r="A21" s="3"/>
      <c r="B21" s="21"/>
    </row>
    <row r="22" spans="1:16" s="31" customFormat="1" x14ac:dyDescent="0.25">
      <c r="A22" s="32" t="s">
        <v>12</v>
      </c>
      <c r="B22" s="33">
        <f>SUM(B18:B21)</f>
        <v>294.07527819174373</v>
      </c>
    </row>
    <row r="23" spans="1:16" ht="27.75" customHeight="1" x14ac:dyDescent="0.25">
      <c r="A23" s="5" t="s">
        <v>12</v>
      </c>
      <c r="B23" s="21">
        <f>B22</f>
        <v>294.07527819174373</v>
      </c>
    </row>
    <row r="24" spans="1:16" x14ac:dyDescent="0.25">
      <c r="A24" s="6"/>
      <c r="B24" s="26"/>
    </row>
    <row r="25" spans="1:16" ht="26.25" customHeight="1" x14ac:dyDescent="0.25">
      <c r="A25" s="7" t="s">
        <v>25</v>
      </c>
      <c r="B25" s="19">
        <f>B27+B28+B29</f>
        <v>33.399000000000001</v>
      </c>
      <c r="C25" t="s">
        <v>18</v>
      </c>
    </row>
    <row r="26" spans="1:16" hidden="1" x14ac:dyDescent="0.25">
      <c r="A26" s="3" t="s">
        <v>13</v>
      </c>
      <c r="B26" s="22"/>
    </row>
    <row r="27" spans="1:16" x14ac:dyDescent="0.25">
      <c r="A27" s="3" t="s">
        <v>42</v>
      </c>
      <c r="B27" s="18">
        <v>23.821999999999999</v>
      </c>
    </row>
    <row r="28" spans="1:16" x14ac:dyDescent="0.25">
      <c r="A28" s="3" t="s">
        <v>13</v>
      </c>
      <c r="B28" s="18">
        <v>9.577</v>
      </c>
    </row>
    <row r="29" spans="1:16" x14ac:dyDescent="0.25">
      <c r="A29" s="4"/>
      <c r="B29" s="18"/>
      <c r="C29" s="10"/>
    </row>
    <row r="30" spans="1:16" x14ac:dyDescent="0.25">
      <c r="A30" s="3" t="s">
        <v>43</v>
      </c>
      <c r="B30" s="18">
        <f>B25*N20*O9*O10*O11*O12*O13*O14*O15*O16</f>
        <v>34.20235410477526</v>
      </c>
      <c r="C30" s="10"/>
    </row>
    <row r="31" spans="1:16" x14ac:dyDescent="0.25">
      <c r="A31" s="3" t="s">
        <v>31</v>
      </c>
      <c r="B31" s="18">
        <f>B13</f>
        <v>0.66798000000000002</v>
      </c>
      <c r="C31" s="10"/>
    </row>
    <row r="32" spans="1:16" x14ac:dyDescent="0.25">
      <c r="A32" s="3" t="s">
        <v>43</v>
      </c>
      <c r="B32" s="18">
        <f>B31*N20*O9*O10*O11*O12*O13*O14*O15*O16</f>
        <v>0.68404708209550535</v>
      </c>
      <c r="C32" s="10"/>
    </row>
    <row r="33" spans="1:9" s="31" customFormat="1" ht="27" customHeight="1" x14ac:dyDescent="0.25">
      <c r="A33" s="87" t="s">
        <v>17</v>
      </c>
      <c r="B33" s="88">
        <f>B30</f>
        <v>34.20235410477526</v>
      </c>
      <c r="D33" s="34"/>
    </row>
    <row r="34" spans="1:9" hidden="1" x14ac:dyDescent="0.25">
      <c r="A34" s="89" t="s">
        <v>13</v>
      </c>
      <c r="B34" s="90" t="e">
        <f>B26*B16*#REF!</f>
        <v>#REF!</v>
      </c>
    </row>
    <row r="35" spans="1:9" x14ac:dyDescent="0.25">
      <c r="A35" s="89" t="s">
        <v>32</v>
      </c>
      <c r="B35" s="90">
        <f>B32</f>
        <v>0.68404708209550535</v>
      </c>
    </row>
    <row r="36" spans="1:9" s="37" customFormat="1" ht="28.5" customHeight="1" x14ac:dyDescent="0.25">
      <c r="A36" s="35" t="s">
        <v>21</v>
      </c>
      <c r="B36" s="36">
        <f>B22+B33+B32</f>
        <v>328.96167937861452</v>
      </c>
      <c r="E36" s="38"/>
      <c r="H36" s="39"/>
      <c r="I36" s="39"/>
    </row>
    <row r="37" spans="1:9" ht="15" customHeight="1" x14ac:dyDescent="0.25">
      <c r="A37" s="16"/>
      <c r="B37" s="27"/>
      <c r="E37" s="15"/>
    </row>
    <row r="38" spans="1:9" x14ac:dyDescent="0.25">
      <c r="A38" s="9"/>
      <c r="B38" s="28"/>
    </row>
    <row r="39" spans="1:9" x14ac:dyDescent="0.25">
      <c r="A39" s="9"/>
      <c r="B39" s="29"/>
    </row>
    <row r="40" spans="1:9" x14ac:dyDescent="0.25">
      <c r="A40" s="14" t="s">
        <v>34</v>
      </c>
      <c r="B40" s="86"/>
    </row>
    <row r="41" spans="1:9" x14ac:dyDescent="0.25">
      <c r="A41" s="14" t="s">
        <v>35</v>
      </c>
      <c r="B41" s="23" t="s">
        <v>36</v>
      </c>
    </row>
    <row r="57" spans="4:4" x14ac:dyDescent="0.25">
      <c r="D57" s="13"/>
    </row>
  </sheetData>
  <mergeCells count="4">
    <mergeCell ref="D7:J7"/>
    <mergeCell ref="L7:P7"/>
    <mergeCell ref="A2:C2"/>
    <mergeCell ref="A3:B3"/>
  </mergeCells>
  <pageMargins left="0.70866141732283472" right="0.70866141732283472" top="0.74803149606299213" bottom="0.74803149606299213" header="0.31496062992125984" footer="0.31496062992125984"/>
  <pageSetup paperSize="9" scale="8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FBC06-3922-4BA3-A868-4D1A8907B2B2}">
  <dimension ref="A1:P57"/>
  <sheetViews>
    <sheetView tabSelected="1" view="pageBreakPreview" zoomScaleNormal="100" zoomScaleSheetLayoutView="100" workbookViewId="0">
      <selection activeCell="A40" sqref="A40:B41"/>
    </sheetView>
  </sheetViews>
  <sheetFormatPr defaultRowHeight="15" x14ac:dyDescent="0.25"/>
  <cols>
    <col min="1" max="1" width="53.140625" customWidth="1"/>
    <col min="2" max="2" width="45.5703125" style="30" customWidth="1"/>
    <col min="3" max="3" width="11" customWidth="1"/>
    <col min="4" max="4" width="14.28515625" bestFit="1" customWidth="1"/>
    <col min="5" max="5" width="12.42578125" bestFit="1" customWidth="1"/>
    <col min="6" max="6" width="11.140625" customWidth="1"/>
    <col min="7" max="7" width="15" customWidth="1"/>
    <col min="8" max="8" width="14.42578125" customWidth="1"/>
    <col min="9" max="9" width="9.5703125" customWidth="1"/>
  </cols>
  <sheetData>
    <row r="1" spans="1:16" x14ac:dyDescent="0.25">
      <c r="A1" s="14"/>
      <c r="B1" s="23" t="s">
        <v>20</v>
      </c>
    </row>
    <row r="2" spans="1:16" ht="15" customHeight="1" x14ac:dyDescent="0.25">
      <c r="A2" s="105" t="s">
        <v>37</v>
      </c>
      <c r="B2" s="105"/>
      <c r="C2" s="105"/>
    </row>
    <row r="3" spans="1:16" ht="36.75" customHeight="1" x14ac:dyDescent="0.25">
      <c r="A3" s="105" t="s">
        <v>47</v>
      </c>
      <c r="B3" s="105"/>
      <c r="C3" s="91"/>
      <c r="D3" s="40" t="s">
        <v>26</v>
      </c>
      <c r="E3" s="40"/>
      <c r="F3" s="40"/>
      <c r="G3" s="41">
        <v>45992</v>
      </c>
      <c r="J3" t="s">
        <v>46</v>
      </c>
    </row>
    <row r="4" spans="1:16" ht="13.5" customHeight="1" x14ac:dyDescent="0.25">
      <c r="A4" s="69"/>
      <c r="B4" s="70"/>
      <c r="D4" s="40" t="s">
        <v>27</v>
      </c>
      <c r="E4" s="40"/>
      <c r="F4" s="40"/>
      <c r="G4" s="42">
        <v>46235</v>
      </c>
      <c r="H4" s="42">
        <v>46325</v>
      </c>
      <c r="I4" s="1"/>
    </row>
    <row r="5" spans="1:16" ht="13.5" customHeight="1" x14ac:dyDescent="0.25">
      <c r="A5" s="68"/>
      <c r="B5" s="69"/>
      <c r="C5" s="70"/>
      <c r="D5" s="71"/>
      <c r="E5" s="71"/>
      <c r="F5" s="71"/>
      <c r="G5" s="72"/>
      <c r="H5" s="72"/>
      <c r="I5" s="1"/>
    </row>
    <row r="6" spans="1:16" ht="29.25" customHeight="1" thickBot="1" x14ac:dyDescent="0.3">
      <c r="A6" s="7"/>
      <c r="B6" s="24"/>
      <c r="D6" s="12"/>
      <c r="E6" s="1"/>
      <c r="F6" s="1"/>
      <c r="G6" s="1"/>
      <c r="H6" s="1"/>
      <c r="I6" s="1"/>
      <c r="K6" s="11"/>
    </row>
    <row r="7" spans="1:16" ht="18.75" customHeight="1" thickBot="1" x14ac:dyDescent="0.45">
      <c r="A7" s="7" t="s">
        <v>23</v>
      </c>
      <c r="B7" s="17"/>
      <c r="D7" s="99" t="s">
        <v>19</v>
      </c>
      <c r="E7" s="100"/>
      <c r="F7" s="100"/>
      <c r="G7" s="100"/>
      <c r="H7" s="100"/>
      <c r="I7" s="100"/>
      <c r="J7" s="101"/>
      <c r="L7" s="102" t="s">
        <v>28</v>
      </c>
      <c r="M7" s="103"/>
      <c r="N7" s="103"/>
      <c r="O7" s="103"/>
      <c r="P7" s="104"/>
    </row>
    <row r="8" spans="1:16" ht="30.75" thickBot="1" x14ac:dyDescent="0.3">
      <c r="A8" s="97" t="s">
        <v>29</v>
      </c>
      <c r="B8" s="18">
        <f>459.387-17.762-B9</f>
        <v>381.73399999999998</v>
      </c>
      <c r="D8" s="43"/>
      <c r="E8" s="44">
        <v>2024</v>
      </c>
      <c r="F8" s="44">
        <v>2025</v>
      </c>
      <c r="G8" s="44">
        <v>2026</v>
      </c>
      <c r="H8" s="44">
        <v>2027</v>
      </c>
      <c r="I8" s="44">
        <v>2028</v>
      </c>
      <c r="J8" s="44">
        <v>2029</v>
      </c>
      <c r="L8" s="45"/>
      <c r="M8" s="46">
        <v>2024</v>
      </c>
      <c r="N8" s="47">
        <v>2025</v>
      </c>
      <c r="O8" s="48">
        <v>2026</v>
      </c>
      <c r="P8" s="49">
        <v>2027</v>
      </c>
    </row>
    <row r="9" spans="1:16" ht="30" x14ac:dyDescent="0.25">
      <c r="A9" s="98" t="s">
        <v>45</v>
      </c>
      <c r="B9" s="18">
        <f>48.471+11.42</f>
        <v>59.890999999999998</v>
      </c>
      <c r="D9" s="50" t="s">
        <v>2</v>
      </c>
      <c r="E9" s="73">
        <v>1.0073000000000001</v>
      </c>
      <c r="F9" s="76">
        <v>1.0068999999999999</v>
      </c>
      <c r="G9" s="51">
        <v>1.0089999999999999</v>
      </c>
      <c r="H9" s="52">
        <v>1.0085999999999999</v>
      </c>
      <c r="I9" s="52"/>
      <c r="J9" s="53"/>
      <c r="L9" s="54" t="s">
        <v>2</v>
      </c>
      <c r="M9" s="79">
        <v>1.0048999999999999</v>
      </c>
      <c r="N9" s="80">
        <v>1.0037</v>
      </c>
      <c r="O9" s="80">
        <v>1.0025999999999999</v>
      </c>
      <c r="P9" s="55">
        <v>1.0024</v>
      </c>
    </row>
    <row r="10" spans="1:16" x14ac:dyDescent="0.25">
      <c r="A10" s="4" t="s">
        <v>16</v>
      </c>
      <c r="B10" s="18">
        <v>1.522</v>
      </c>
      <c r="D10" s="56" t="s">
        <v>3</v>
      </c>
      <c r="E10" s="74">
        <v>1.0073000000000001</v>
      </c>
      <c r="F10" s="77">
        <v>1.0068999999999999</v>
      </c>
      <c r="G10" s="57">
        <v>1.0089999999999999</v>
      </c>
      <c r="H10" s="58">
        <v>1.0085999999999999</v>
      </c>
      <c r="I10" s="58"/>
      <c r="J10" s="59"/>
      <c r="L10" s="60" t="s">
        <v>3</v>
      </c>
      <c r="M10" s="81">
        <v>1.0048999999999999</v>
      </c>
      <c r="N10" s="82">
        <v>1.0037</v>
      </c>
      <c r="O10" s="82">
        <v>1.0025999999999999</v>
      </c>
      <c r="P10" s="61">
        <v>1.0024</v>
      </c>
    </row>
    <row r="11" spans="1:16" ht="30" x14ac:dyDescent="0.25">
      <c r="A11" s="98" t="s">
        <v>22</v>
      </c>
      <c r="B11" s="18">
        <v>21.622</v>
      </c>
      <c r="D11" s="56" t="s">
        <v>4</v>
      </c>
      <c r="E11" s="74">
        <v>1.0073000000000001</v>
      </c>
      <c r="F11" s="77">
        <v>1.0068999999999999</v>
      </c>
      <c r="G11" s="57">
        <v>1.0089999999999999</v>
      </c>
      <c r="H11" s="58">
        <v>1.0085999999999999</v>
      </c>
      <c r="I11" s="58"/>
      <c r="J11" s="59"/>
      <c r="L11" s="60" t="s">
        <v>4</v>
      </c>
      <c r="M11" s="81">
        <v>1.0048999999999999</v>
      </c>
      <c r="N11" s="82">
        <v>1.0037</v>
      </c>
      <c r="O11" s="82">
        <v>1.0025999999999999</v>
      </c>
      <c r="P11" s="61">
        <v>1.0024</v>
      </c>
    </row>
    <row r="12" spans="1:16" ht="30" customHeight="1" x14ac:dyDescent="0.25">
      <c r="A12" s="98" t="s">
        <v>44</v>
      </c>
      <c r="B12" s="18">
        <v>12.428000000000001</v>
      </c>
      <c r="D12" s="56" t="s">
        <v>15</v>
      </c>
      <c r="E12" s="74">
        <v>1.0073000000000001</v>
      </c>
      <c r="F12" s="57">
        <v>1.0109999999999999</v>
      </c>
      <c r="G12" s="57">
        <v>1.0089999999999999</v>
      </c>
      <c r="H12" s="58">
        <v>1.0085999999999999</v>
      </c>
      <c r="I12" s="58"/>
      <c r="J12" s="59"/>
      <c r="L12" s="60" t="s">
        <v>15</v>
      </c>
      <c r="M12" s="81">
        <v>1.0048999999999999</v>
      </c>
      <c r="N12" s="82">
        <v>1.0029999999999999</v>
      </c>
      <c r="O12" s="82">
        <v>1.0025999999999999</v>
      </c>
      <c r="P12" s="61">
        <v>1.0024</v>
      </c>
    </row>
    <row r="13" spans="1:16" ht="24.75" customHeight="1" x14ac:dyDescent="0.25">
      <c r="A13" s="98" t="s">
        <v>30</v>
      </c>
      <c r="B13" s="18">
        <f>(969.48+228.4)/1000</f>
        <v>1.1978800000000001</v>
      </c>
      <c r="D13" s="56" t="s">
        <v>5</v>
      </c>
      <c r="E13" s="74">
        <v>1.0073000000000001</v>
      </c>
      <c r="F13" s="57">
        <v>1.0109999999999999</v>
      </c>
      <c r="G13" s="57">
        <v>1.0089999999999999</v>
      </c>
      <c r="H13" s="58">
        <v>1.0085999999999999</v>
      </c>
      <c r="I13" s="58"/>
      <c r="J13" s="59"/>
      <c r="L13" s="60" t="s">
        <v>5</v>
      </c>
      <c r="M13" s="81">
        <v>1.0044999999999999</v>
      </c>
      <c r="N13" s="82">
        <v>1.0029999999999999</v>
      </c>
      <c r="O13" s="82">
        <v>1.0025999999999999</v>
      </c>
      <c r="P13" s="61">
        <v>1.0024</v>
      </c>
    </row>
    <row r="14" spans="1:16" ht="24.75" customHeight="1" x14ac:dyDescent="0.25">
      <c r="A14" s="8" t="s">
        <v>24</v>
      </c>
      <c r="B14" s="19">
        <f>B8+B10+B11+B12</f>
        <v>417.30599999999998</v>
      </c>
      <c r="D14" s="56" t="s">
        <v>6</v>
      </c>
      <c r="E14" s="74">
        <v>1.0073000000000001</v>
      </c>
      <c r="F14" s="57">
        <v>1.0109999999999999</v>
      </c>
      <c r="G14" s="57">
        <v>1.0089999999999999</v>
      </c>
      <c r="H14" s="58">
        <v>1.0085999999999999</v>
      </c>
      <c r="I14" s="58"/>
      <c r="J14" s="59"/>
      <c r="L14" s="60" t="s">
        <v>6</v>
      </c>
      <c r="M14" s="81">
        <v>1.0044999999999999</v>
      </c>
      <c r="N14" s="82">
        <v>1.0029999999999999</v>
      </c>
      <c r="O14" s="82">
        <v>1.0025999999999999</v>
      </c>
      <c r="P14" s="61">
        <v>1.0024</v>
      </c>
    </row>
    <row r="15" spans="1:16" ht="15" customHeight="1" x14ac:dyDescent="0.25">
      <c r="A15" s="8"/>
      <c r="B15" s="20"/>
      <c r="D15" s="56" t="s">
        <v>7</v>
      </c>
      <c r="E15" s="74">
        <v>1.0073000000000001</v>
      </c>
      <c r="F15" s="57">
        <v>1.0109999999999999</v>
      </c>
      <c r="G15" s="93">
        <v>1.0089999999999999</v>
      </c>
      <c r="H15" s="58">
        <v>1.0085999999999999</v>
      </c>
      <c r="I15" s="58"/>
      <c r="J15" s="59"/>
      <c r="L15" s="60" t="s">
        <v>7</v>
      </c>
      <c r="M15" s="81">
        <v>1.0044999999999999</v>
      </c>
      <c r="N15" s="82">
        <v>1.0029999999999999</v>
      </c>
      <c r="O15" s="83">
        <v>1.0025999999999999</v>
      </c>
      <c r="P15" s="61">
        <v>1.0024</v>
      </c>
    </row>
    <row r="16" spans="1:16" x14ac:dyDescent="0.25">
      <c r="A16" s="92" t="s">
        <v>0</v>
      </c>
      <c r="B16" s="25">
        <f>F20*G9*G10*G11*G12*G13*G14*G15</f>
        <v>1.0764387400834192</v>
      </c>
      <c r="D16" s="56" t="s">
        <v>8</v>
      </c>
      <c r="E16" s="74">
        <v>1.0073000000000001</v>
      </c>
      <c r="F16" s="93">
        <v>1.0109999999999999</v>
      </c>
      <c r="G16" s="78">
        <v>1.0089999999999999</v>
      </c>
      <c r="H16" s="58">
        <v>1.0085999999999999</v>
      </c>
      <c r="I16" s="58"/>
      <c r="J16" s="59"/>
      <c r="L16" s="60" t="s">
        <v>8</v>
      </c>
      <c r="M16" s="81">
        <v>1.0044999999999999</v>
      </c>
      <c r="N16" s="83">
        <v>1.0029999999999999</v>
      </c>
      <c r="O16" s="82">
        <v>1.0025999999999999</v>
      </c>
      <c r="P16" s="61">
        <v>1.0024</v>
      </c>
    </row>
    <row r="17" spans="1:16" x14ac:dyDescent="0.25">
      <c r="A17" s="2" t="s">
        <v>1</v>
      </c>
      <c r="B17" s="21">
        <f>B14*B16</f>
        <v>449.20434486925132</v>
      </c>
      <c r="D17" s="56" t="s">
        <v>9</v>
      </c>
      <c r="E17" s="74">
        <v>1.0073000000000001</v>
      </c>
      <c r="F17" s="57">
        <v>1.0109999999999999</v>
      </c>
      <c r="G17" s="78">
        <v>1.0089999999999999</v>
      </c>
      <c r="H17" s="58">
        <v>1.0085999999999999</v>
      </c>
      <c r="I17" s="58"/>
      <c r="J17" s="59"/>
      <c r="L17" s="60" t="s">
        <v>9</v>
      </c>
      <c r="M17" s="81">
        <v>1.0044999999999999</v>
      </c>
      <c r="N17" s="82">
        <v>1.0029999999999999</v>
      </c>
      <c r="O17" s="82">
        <v>1.0025999999999999</v>
      </c>
      <c r="P17" s="61">
        <v>1.0024</v>
      </c>
    </row>
    <row r="18" spans="1:16" ht="21" customHeight="1" x14ac:dyDescent="0.25">
      <c r="A18" s="92" t="s">
        <v>48</v>
      </c>
      <c r="B18" s="21">
        <f>B17*0.3*G16</f>
        <v>135.97415519192236</v>
      </c>
      <c r="D18" s="56" t="s">
        <v>10</v>
      </c>
      <c r="E18" s="74">
        <v>1.0073000000000001</v>
      </c>
      <c r="F18" s="57">
        <v>1.0109999999999999</v>
      </c>
      <c r="G18" s="78">
        <v>1.0089999999999999</v>
      </c>
      <c r="H18" s="58">
        <v>1.0085999999999999</v>
      </c>
      <c r="I18" s="58"/>
      <c r="J18" s="59"/>
      <c r="L18" s="60" t="s">
        <v>10</v>
      </c>
      <c r="M18" s="81">
        <v>1.0044999999999999</v>
      </c>
      <c r="N18" s="82">
        <v>1.0029999999999999</v>
      </c>
      <c r="O18" s="82">
        <v>1.0025999999999999</v>
      </c>
      <c r="P18" s="61">
        <v>1.0024</v>
      </c>
    </row>
    <row r="19" spans="1:16" ht="21" customHeight="1" x14ac:dyDescent="0.25">
      <c r="A19" s="92" t="s">
        <v>49</v>
      </c>
      <c r="B19" s="21">
        <f>B17*0.4*G16*G17</f>
        <v>182.93056345153286</v>
      </c>
      <c r="D19" s="56" t="s">
        <v>14</v>
      </c>
      <c r="E19" s="74">
        <v>1.0073000000000001</v>
      </c>
      <c r="F19" s="57">
        <v>1.0109999999999999</v>
      </c>
      <c r="G19" s="57">
        <v>1.0089999999999999</v>
      </c>
      <c r="H19" s="58">
        <v>1.0085999999999999</v>
      </c>
      <c r="I19" s="58"/>
      <c r="J19" s="59"/>
      <c r="L19" s="60" t="s">
        <v>14</v>
      </c>
      <c r="M19" s="81">
        <v>1.0044999999999999</v>
      </c>
      <c r="N19" s="82">
        <v>1.0029999999999999</v>
      </c>
      <c r="O19" s="82">
        <v>1.0025999999999999</v>
      </c>
      <c r="P19" s="61">
        <v>1.0024</v>
      </c>
    </row>
    <row r="20" spans="1:16" ht="19.5" customHeight="1" thickBot="1" x14ac:dyDescent="0.3">
      <c r="A20" s="92" t="s">
        <v>50</v>
      </c>
      <c r="B20" s="21">
        <f>B17*0.3*G16*G17*G18</f>
        <v>138.43270389194748</v>
      </c>
      <c r="D20" s="62" t="s">
        <v>11</v>
      </c>
      <c r="E20" s="75">
        <v>1.0073000000000001</v>
      </c>
      <c r="F20" s="94">
        <v>1.0109999999999999</v>
      </c>
      <c r="G20" s="63">
        <v>1.0089999999999999</v>
      </c>
      <c r="H20" s="64">
        <v>1.0085999999999999</v>
      </c>
      <c r="I20" s="64"/>
      <c r="J20" s="65"/>
      <c r="L20" s="66" t="s">
        <v>11</v>
      </c>
      <c r="M20" s="84">
        <v>1.0044999999999999</v>
      </c>
      <c r="N20" s="85">
        <v>1.0029999999999999</v>
      </c>
      <c r="O20" s="85">
        <v>1.0025999999999999</v>
      </c>
      <c r="P20" s="67">
        <v>1.0024</v>
      </c>
    </row>
    <row r="21" spans="1:16" ht="0.75" customHeight="1" x14ac:dyDescent="0.25">
      <c r="A21" s="3"/>
      <c r="B21" s="21"/>
    </row>
    <row r="22" spans="1:16" s="31" customFormat="1" x14ac:dyDescent="0.25">
      <c r="A22" s="32" t="s">
        <v>12</v>
      </c>
      <c r="B22" s="33">
        <f>ROUND(SUM(B18:B21),3)</f>
        <v>457.33699999999999</v>
      </c>
    </row>
    <row r="23" spans="1:16" ht="27.75" customHeight="1" x14ac:dyDescent="0.25">
      <c r="A23" s="5" t="s">
        <v>12</v>
      </c>
      <c r="B23" s="21">
        <f>B22</f>
        <v>457.33699999999999</v>
      </c>
    </row>
    <row r="24" spans="1:16" x14ac:dyDescent="0.25">
      <c r="A24" s="6"/>
      <c r="B24" s="26"/>
    </row>
    <row r="25" spans="1:16" ht="26.25" customHeight="1" x14ac:dyDescent="0.25">
      <c r="A25" s="7" t="s">
        <v>25</v>
      </c>
      <c r="B25" s="19">
        <f>B27+B28+B29</f>
        <v>59.890999999999998</v>
      </c>
      <c r="C25" t="s">
        <v>18</v>
      </c>
    </row>
    <row r="26" spans="1:16" hidden="1" x14ac:dyDescent="0.25">
      <c r="A26" s="3" t="s">
        <v>13</v>
      </c>
      <c r="B26" s="22"/>
    </row>
    <row r="27" spans="1:16" x14ac:dyDescent="0.25">
      <c r="A27" s="3" t="s">
        <v>42</v>
      </c>
      <c r="B27" s="18">
        <v>48.470999999999997</v>
      </c>
    </row>
    <row r="28" spans="1:16" x14ac:dyDescent="0.25">
      <c r="A28" s="3" t="s">
        <v>13</v>
      </c>
      <c r="B28" s="18">
        <v>11.42</v>
      </c>
    </row>
    <row r="29" spans="1:16" x14ac:dyDescent="0.25">
      <c r="A29" s="4"/>
      <c r="B29" s="18"/>
      <c r="C29" s="10"/>
    </row>
    <row r="30" spans="1:16" x14ac:dyDescent="0.25">
      <c r="A30" s="3" t="s">
        <v>43</v>
      </c>
      <c r="B30" s="18">
        <f>B25*N20*O9*O10*O11*O12*O13*O14*O15*O16</f>
        <v>61.331572492861916</v>
      </c>
      <c r="C30" s="10"/>
    </row>
    <row r="31" spans="1:16" x14ac:dyDescent="0.25">
      <c r="A31" s="3" t="s">
        <v>31</v>
      </c>
      <c r="B31" s="18">
        <f>B13</f>
        <v>1.1978800000000001</v>
      </c>
      <c r="C31" s="10"/>
    </row>
    <row r="32" spans="1:16" x14ac:dyDescent="0.25">
      <c r="A32" s="3" t="s">
        <v>43</v>
      </c>
      <c r="B32" s="18">
        <f>ROUND(B31*N20*O9*O10*O11*O12*O13*O14*O15*O16,3)</f>
        <v>1.2270000000000001</v>
      </c>
      <c r="C32" s="10"/>
    </row>
    <row r="33" spans="1:9" s="31" customFormat="1" ht="27" customHeight="1" x14ac:dyDescent="0.25">
      <c r="A33" s="87" t="s">
        <v>17</v>
      </c>
      <c r="B33" s="88">
        <f>B30</f>
        <v>61.331572492861916</v>
      </c>
      <c r="D33" s="34"/>
    </row>
    <row r="34" spans="1:9" hidden="1" x14ac:dyDescent="0.25">
      <c r="A34" s="89" t="s">
        <v>13</v>
      </c>
      <c r="B34" s="90" t="e">
        <f>B26*B16*#REF!</f>
        <v>#REF!</v>
      </c>
    </row>
    <row r="35" spans="1:9" x14ac:dyDescent="0.25">
      <c r="A35" s="89" t="s">
        <v>32</v>
      </c>
      <c r="B35" s="90">
        <f>B32</f>
        <v>1.2270000000000001</v>
      </c>
    </row>
    <row r="36" spans="1:9" s="37" customFormat="1" ht="28.5" customHeight="1" x14ac:dyDescent="0.25">
      <c r="A36" s="35" t="s">
        <v>21</v>
      </c>
      <c r="B36" s="36">
        <f>B22+B33+B32</f>
        <v>519.8955724928619</v>
      </c>
      <c r="E36" s="38"/>
      <c r="H36" s="39"/>
      <c r="I36" s="39"/>
    </row>
    <row r="37" spans="1:9" ht="15" customHeight="1" x14ac:dyDescent="0.25">
      <c r="A37" s="16"/>
      <c r="B37" s="27"/>
      <c r="E37" s="15"/>
    </row>
    <row r="38" spans="1:9" x14ac:dyDescent="0.25">
      <c r="A38" s="9"/>
      <c r="B38" s="28"/>
    </row>
    <row r="39" spans="1:9" x14ac:dyDescent="0.25">
      <c r="A39" s="9"/>
      <c r="B39" s="29"/>
    </row>
    <row r="40" spans="1:9" x14ac:dyDescent="0.25">
      <c r="A40" s="14" t="s">
        <v>51</v>
      </c>
      <c r="B40" s="86"/>
    </row>
    <row r="41" spans="1:9" x14ac:dyDescent="0.25">
      <c r="A41" s="14" t="s">
        <v>52</v>
      </c>
      <c r="B41" s="23" t="s">
        <v>53</v>
      </c>
    </row>
    <row r="57" spans="4:4" x14ac:dyDescent="0.25">
      <c r="D57" s="13"/>
    </row>
  </sheetData>
  <mergeCells count="4">
    <mergeCell ref="A2:C2"/>
    <mergeCell ref="A3:B3"/>
    <mergeCell ref="D7:J7"/>
    <mergeCell ref="L7:P7"/>
  </mergeCells>
  <pageMargins left="0.7" right="0.7" top="0.75" bottom="0.75" header="0.3" footer="0.3"/>
  <pageSetup paperSize="9" scale="8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Федорова 3</vt:lpstr>
      <vt:lpstr>Лист1</vt:lpstr>
      <vt:lpstr>Лист1!Область_печати</vt:lpstr>
      <vt:lpstr>'Федорова 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2026-06-17T12:47:59Z</dcterms:modified>
</cp:coreProperties>
</file>